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66925"/>
  <mc:AlternateContent xmlns:mc="http://schemas.openxmlformats.org/markup-compatibility/2006">
    <mc:Choice Requires="x15">
      <x15ac:absPath xmlns:x15ac="http://schemas.microsoft.com/office/spreadsheetml/2010/11/ac" url="P:\2021\210005\02_doc_tecnica\02.03.Ejecución\Tarea B\2_Eco-incentivos\1_Eco-incentivo marítimo\B.1. Trabajos preparatorios\MODELO DE DATOS\"/>
    </mc:Choice>
  </mc:AlternateContent>
  <xr:revisionPtr revIDLastSave="0" documentId="13_ncr:1_{CA1C7B6C-B004-4CE2-8D31-8FD792492AF5}" xr6:coauthVersionLast="47" xr6:coauthVersionMax="47" xr10:uidLastSave="{00000000-0000-0000-0000-000000000000}"/>
  <bookViews>
    <workbookView xWindow="-110" yWindow="-110" windowWidth="19420" windowHeight="10420" tabRatio="884" firstSheet="5" activeTab="6" xr2:uid="{6877733E-9712-49A7-8A66-1C7A797A3AC3}"/>
  </bookViews>
  <sheets>
    <sheet name="Presupuesto MITMA esquema 2018" sheetId="21" state="hidden" r:id="rId1"/>
    <sheet name="Ajuste anuario" sheetId="25" state="hidden" r:id="rId2"/>
    <sheet name="Resultados toneladas" sheetId="26" state="hidden" r:id="rId3"/>
    <sheet name="Resultados t-km" sheetId="27" state="hidden" r:id="rId4"/>
    <sheet name="aux (2)" sheetId="45" state="hidden" r:id="rId5"/>
    <sheet name="EXANTE - BUQUES " sheetId="47" r:id="rId6"/>
    <sheet name="EXANTE - TRÁFICOS" sheetId="44" r:id="rId7"/>
    <sheet name="Mercados" sheetId="34" state="hidden" r:id="rId8"/>
    <sheet name="Datos AAPP" sheetId="35" state="hidden" r:id="rId9"/>
    <sheet name="Comparativa criterio eficiencia" sheetId="28" state="hidden" r:id="rId10"/>
    <sheet name="anuario MITMA" sheetId="22" state="hidden" r:id="rId11"/>
  </sheets>
  <externalReferences>
    <externalReference r:id="rId12"/>
  </externalReferences>
  <definedNames>
    <definedName name="_xlnm._FilterDatabase" localSheetId="10" hidden="1">'anuario MITMA'!$B$3:$K$53</definedName>
    <definedName name="_xlnm._FilterDatabase" localSheetId="5" hidden="1">'EXANTE - BUQUES '!$D$14:$R$15</definedName>
    <definedName name="_xlnm._FilterDatabase" localSheetId="6" hidden="1">'EXANTE - TRÁFICOS'!#REF!</definedName>
    <definedName name="_xlnm.Print_Area" localSheetId="5">'EXANTE - BUQUES '!$B$12:$J$47</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5" l="1"/>
  <c r="E32" i="27"/>
  <c r="E9" i="27"/>
  <c r="E7" i="27"/>
  <c r="E8" i="27"/>
  <c r="B17" i="25"/>
  <c r="B19" i="25"/>
  <c r="D19" i="25"/>
  <c r="E33" i="27"/>
  <c r="E12" i="27"/>
  <c r="E10" i="27"/>
  <c r="E23" i="27" s="1"/>
  <c r="E11" i="27"/>
  <c r="D7" i="25"/>
  <c r="E34" i="27"/>
  <c r="D10" i="25"/>
  <c r="E35" i="27"/>
  <c r="E60" i="27" s="1"/>
  <c r="D15" i="25"/>
  <c r="F32" i="27" s="1"/>
  <c r="F8" i="27"/>
  <c r="F7" i="27"/>
  <c r="F18" i="27" s="1"/>
  <c r="F9" i="27"/>
  <c r="D20" i="25"/>
  <c r="F33" i="27"/>
  <c r="W4" i="27"/>
  <c r="M11" i="27"/>
  <c r="F11" i="27"/>
  <c r="F10" i="27"/>
  <c r="F12" i="27"/>
  <c r="D8" i="25"/>
  <c r="F34" i="27" s="1"/>
  <c r="D11" i="25"/>
  <c r="F35" i="27"/>
  <c r="K9" i="35"/>
  <c r="O20" i="35"/>
  <c r="O19" i="35"/>
  <c r="K5" i="35"/>
  <c r="D38" i="25"/>
  <c r="E32" i="26"/>
  <c r="E7" i="26"/>
  <c r="E8" i="26"/>
  <c r="E9" i="26"/>
  <c r="D39" i="25"/>
  <c r="F32" i="26"/>
  <c r="F8" i="26"/>
  <c r="F7" i="26"/>
  <c r="F19" i="26" s="1"/>
  <c r="F9" i="26"/>
  <c r="D44" i="25"/>
  <c r="F33" i="26" s="1"/>
  <c r="F10" i="26"/>
  <c r="F11" i="26"/>
  <c r="F22" i="26" s="1"/>
  <c r="F12" i="26"/>
  <c r="F20" i="26"/>
  <c r="F46" i="26"/>
  <c r="B32" i="25"/>
  <c r="B35" i="25" s="1"/>
  <c r="D35" i="25" s="1"/>
  <c r="F35" i="26" s="1"/>
  <c r="D32" i="25"/>
  <c r="F34" i="26"/>
  <c r="F56" i="26"/>
  <c r="B41" i="25"/>
  <c r="B43" i="25" s="1"/>
  <c r="D43" i="25" s="1"/>
  <c r="E33" i="26" s="1"/>
  <c r="E10" i="26"/>
  <c r="E21" i="26" s="1"/>
  <c r="E58" i="26" s="1"/>
  <c r="E11" i="26"/>
  <c r="E12" i="26"/>
  <c r="E23" i="26" s="1"/>
  <c r="E22" i="26"/>
  <c r="E48" i="26" s="1"/>
  <c r="D31" i="25"/>
  <c r="E34" i="26"/>
  <c r="D34" i="25"/>
  <c r="E35" i="26"/>
  <c r="E60" i="26"/>
  <c r="F44" i="27"/>
  <c r="E21" i="27"/>
  <c r="E19" i="27"/>
  <c r="E22" i="27"/>
  <c r="E59" i="27" s="1"/>
  <c r="E58" i="27"/>
  <c r="L20" i="27"/>
  <c r="L19" i="27"/>
  <c r="Q19" i="27"/>
  <c r="R19" i="27"/>
  <c r="L18" i="27"/>
  <c r="L20" i="26"/>
  <c r="L19" i="26"/>
  <c r="W56" i="26"/>
  <c r="Q19" i="26"/>
  <c r="R19" i="26"/>
  <c r="L18" i="26"/>
  <c r="M20" i="26"/>
  <c r="M46" i="26"/>
  <c r="M21" i="26"/>
  <c r="L44" i="27"/>
  <c r="L21" i="27"/>
  <c r="L22" i="27"/>
  <c r="L23" i="27"/>
  <c r="M18" i="27"/>
  <c r="M44" i="27" s="1"/>
  <c r="M66" i="27" s="1"/>
  <c r="M19" i="27"/>
  <c r="M20" i="27"/>
  <c r="M21" i="27"/>
  <c r="M22" i="27"/>
  <c r="M23" i="27"/>
  <c r="N18" i="27"/>
  <c r="N44" i="27"/>
  <c r="N66" i="27"/>
  <c r="N19" i="27"/>
  <c r="N20" i="27"/>
  <c r="N21" i="27"/>
  <c r="N22" i="27"/>
  <c r="N23" i="27"/>
  <c r="O18" i="27"/>
  <c r="O44" i="27" s="1"/>
  <c r="O19" i="27"/>
  <c r="O20" i="27"/>
  <c r="O21" i="27"/>
  <c r="O22" i="27"/>
  <c r="O23" i="27"/>
  <c r="P18" i="27"/>
  <c r="P44" i="27"/>
  <c r="P66" i="27" s="1"/>
  <c r="P19" i="27"/>
  <c r="P20" i="27"/>
  <c r="P21" i="27"/>
  <c r="P22" i="27"/>
  <c r="P23" i="27"/>
  <c r="Q18" i="27"/>
  <c r="Q44" i="27" s="1"/>
  <c r="Q20" i="27"/>
  <c r="Q21" i="27"/>
  <c r="Q22" i="27"/>
  <c r="Q23" i="27"/>
  <c r="R18" i="27"/>
  <c r="R44" i="27"/>
  <c r="R20" i="27"/>
  <c r="R21" i="27"/>
  <c r="R22" i="27"/>
  <c r="R23" i="27"/>
  <c r="S18" i="27"/>
  <c r="S44" i="27" s="1"/>
  <c r="S66" i="27" s="1"/>
  <c r="S19" i="27"/>
  <c r="S20" i="27"/>
  <c r="S21" i="27"/>
  <c r="S22" i="27"/>
  <c r="S23" i="27"/>
  <c r="M18" i="26"/>
  <c r="M68" i="26"/>
  <c r="M19" i="26"/>
  <c r="M22" i="26"/>
  <c r="M23" i="26"/>
  <c r="P18" i="26"/>
  <c r="P20" i="26"/>
  <c r="P46" i="26"/>
  <c r="P68" i="26"/>
  <c r="P19" i="26"/>
  <c r="P21" i="26"/>
  <c r="P22" i="26"/>
  <c r="P23" i="26"/>
  <c r="N18" i="26"/>
  <c r="N20" i="26"/>
  <c r="N46" i="26" s="1"/>
  <c r="N68" i="26" s="1"/>
  <c r="N19" i="26"/>
  <c r="N21" i="26"/>
  <c r="N22" i="26"/>
  <c r="N23" i="26"/>
  <c r="L46" i="26"/>
  <c r="L21" i="26"/>
  <c r="L22" i="26"/>
  <c r="L23" i="26"/>
  <c r="S18" i="26"/>
  <c r="S19" i="26"/>
  <c r="S20" i="26"/>
  <c r="S46" i="26"/>
  <c r="S21" i="26"/>
  <c r="S22" i="26"/>
  <c r="S23" i="26"/>
  <c r="R18" i="26"/>
  <c r="R20" i="26"/>
  <c r="R46" i="26"/>
  <c r="R21" i="26"/>
  <c r="R22" i="26"/>
  <c r="R23" i="26"/>
  <c r="Q18" i="26"/>
  <c r="Q20" i="26"/>
  <c r="Q46" i="26"/>
  <c r="Q21" i="26"/>
  <c r="Q22" i="26"/>
  <c r="Q23" i="26"/>
  <c r="O19" i="26"/>
  <c r="O18" i="26"/>
  <c r="O20" i="26"/>
  <c r="O46" i="26"/>
  <c r="O21" i="26"/>
  <c r="O22" i="26"/>
  <c r="O23" i="26"/>
  <c r="K58" i="27"/>
  <c r="K59" i="27"/>
  <c r="K60" i="27"/>
  <c r="K8" i="28"/>
  <c r="J8" i="28"/>
  <c r="I8" i="28"/>
  <c r="H8" i="28"/>
  <c r="G8" i="28"/>
  <c r="F8" i="28"/>
  <c r="E8" i="28"/>
  <c r="D8" i="28"/>
  <c r="C8" i="28"/>
  <c r="K7" i="28"/>
  <c r="J7" i="28"/>
  <c r="I7" i="28"/>
  <c r="H7" i="28"/>
  <c r="G7" i="28"/>
  <c r="F7" i="28"/>
  <c r="E7" i="28"/>
  <c r="D7" i="28"/>
  <c r="C7" i="28"/>
  <c r="K58" i="26"/>
  <c r="K60" i="26"/>
  <c r="G8" i="26"/>
  <c r="B40" i="25"/>
  <c r="B42" i="25" s="1"/>
  <c r="B44" i="25" s="1"/>
  <c r="D42" i="25"/>
  <c r="K48" i="26"/>
  <c r="S13" i="27"/>
  <c r="L13" i="27"/>
  <c r="S24" i="27" s="1"/>
  <c r="M13" i="27"/>
  <c r="N13" i="27"/>
  <c r="O13" i="27"/>
  <c r="P13" i="27"/>
  <c r="P24" i="27" s="1"/>
  <c r="Q13" i="27"/>
  <c r="R13" i="27"/>
  <c r="F36" i="27"/>
  <c r="G32" i="27"/>
  <c r="G36" i="27" s="1"/>
  <c r="G33" i="27"/>
  <c r="G34" i="27"/>
  <c r="G35" i="27"/>
  <c r="E36" i="27"/>
  <c r="T7" i="27"/>
  <c r="T8" i="27"/>
  <c r="T9" i="27"/>
  <c r="T10" i="27"/>
  <c r="T11" i="27"/>
  <c r="T13" i="27" s="1"/>
  <c r="T12" i="27"/>
  <c r="K13" i="27"/>
  <c r="G7" i="27"/>
  <c r="G8" i="27"/>
  <c r="G9" i="27"/>
  <c r="G10" i="27"/>
  <c r="G11" i="27"/>
  <c r="G13" i="27" s="1"/>
  <c r="G12" i="27"/>
  <c r="F13" i="27"/>
  <c r="E13" i="27"/>
  <c r="G32" i="26"/>
  <c r="G34" i="26"/>
  <c r="G35" i="26"/>
  <c r="E36" i="26"/>
  <c r="S13" i="26"/>
  <c r="L13" i="26"/>
  <c r="O24" i="26" s="1"/>
  <c r="M13" i="26"/>
  <c r="M24" i="26" s="1"/>
  <c r="N13" i="26"/>
  <c r="O13" i="26"/>
  <c r="P13" i="26"/>
  <c r="P24" i="26" s="1"/>
  <c r="Q13" i="26"/>
  <c r="R13" i="26"/>
  <c r="Q24" i="26"/>
  <c r="T7" i="26"/>
  <c r="T13" i="26" s="1"/>
  <c r="T8" i="26"/>
  <c r="T9" i="26"/>
  <c r="T10" i="26"/>
  <c r="T11" i="26"/>
  <c r="T12" i="26"/>
  <c r="K13" i="26"/>
  <c r="G7" i="26"/>
  <c r="G13" i="26" s="1"/>
  <c r="G9" i="26"/>
  <c r="G10" i="26"/>
  <c r="G11" i="26"/>
  <c r="G12" i="26"/>
  <c r="F13" i="26"/>
  <c r="E13" i="26"/>
  <c r="H23" i="21"/>
  <c r="F23" i="21"/>
  <c r="D23" i="21"/>
  <c r="D36" i="21" s="1"/>
  <c r="E20" i="21"/>
  <c r="E33" i="21" s="1"/>
  <c r="H10" i="21"/>
  <c r="D10" i="21"/>
  <c r="F8" i="21"/>
  <c r="I7" i="21"/>
  <c r="B13" i="25"/>
  <c r="B15" i="25"/>
  <c r="B16" i="25"/>
  <c r="B18" i="25"/>
  <c r="B20" i="25" s="1"/>
  <c r="B37" i="25"/>
  <c r="B39" i="25"/>
  <c r="B53" i="25"/>
  <c r="D37" i="25"/>
  <c r="B33" i="25"/>
  <c r="D33" i="25"/>
  <c r="B30" i="25"/>
  <c r="D30" i="25" s="1"/>
  <c r="D29" i="25"/>
  <c r="D18" i="25"/>
  <c r="D16" i="25"/>
  <c r="D12" i="25" s="1"/>
  <c r="D4" i="25" s="1"/>
  <c r="D13" i="25"/>
  <c r="D9" i="25"/>
  <c r="B4" i="25"/>
  <c r="E43" i="22"/>
  <c r="E40" i="22"/>
  <c r="E44" i="22" s="1"/>
  <c r="E42" i="22"/>
  <c r="M51" i="22"/>
  <c r="E49" i="22"/>
  <c r="E51" i="22" s="1"/>
  <c r="E48" i="22"/>
  <c r="N47" i="22"/>
  <c r="N46" i="22"/>
  <c r="M45" i="22"/>
  <c r="N45" i="22" s="1"/>
  <c r="E41" i="22"/>
  <c r="E45" i="22"/>
  <c r="N41" i="22"/>
  <c r="N40" i="22"/>
  <c r="N38" i="22"/>
  <c r="N35" i="22"/>
  <c r="N34" i="22"/>
  <c r="E29" i="22"/>
  <c r="L30" i="22" s="1"/>
  <c r="E30" i="22"/>
  <c r="M26" i="22"/>
  <c r="M20" i="22"/>
  <c r="L5" i="22"/>
  <c r="E6" i="22"/>
  <c r="L6" i="22"/>
  <c r="N9" i="22"/>
  <c r="N10" i="22"/>
  <c r="N13" i="22"/>
  <c r="N15" i="22"/>
  <c r="N16" i="22"/>
  <c r="E17" i="22"/>
  <c r="E18" i="22"/>
  <c r="E19" i="22"/>
  <c r="E20" i="22"/>
  <c r="E21" i="22"/>
  <c r="N21" i="22"/>
  <c r="E22" i="22"/>
  <c r="N22" i="22"/>
  <c r="E23" i="22"/>
  <c r="E25" i="22" s="1"/>
  <c r="E24" i="22"/>
  <c r="F36" i="21"/>
  <c r="H36" i="21"/>
  <c r="F36" i="26"/>
  <c r="F37" i="26" s="1"/>
  <c r="G33" i="26"/>
  <c r="G36" i="26" s="1"/>
  <c r="E37" i="26" s="1"/>
  <c r="D40" i="25"/>
  <c r="D36" i="25" s="1"/>
  <c r="D28" i="25" s="1"/>
  <c r="N20" i="22" l="1"/>
  <c r="N51" i="22"/>
  <c r="E37" i="27"/>
  <c r="O24" i="27"/>
  <c r="Q24" i="27"/>
  <c r="R24" i="26"/>
  <c r="E31" i="22"/>
  <c r="L31" i="22" s="1"/>
  <c r="S24" i="26"/>
  <c r="F37" i="27"/>
  <c r="L24" i="27"/>
  <c r="E26" i="22"/>
  <c r="N26" i="22" s="1"/>
  <c r="E50" i="22"/>
  <c r="L24" i="26"/>
  <c r="R24" i="27"/>
  <c r="M24" i="27"/>
  <c r="E47" i="27"/>
  <c r="E49" i="27"/>
  <c r="E48" i="27"/>
  <c r="N24" i="26"/>
  <c r="N24" i="27"/>
  <c r="Q56" i="26"/>
  <c r="L56" i="26"/>
  <c r="P56" i="26"/>
  <c r="R56" i="26"/>
  <c r="N56" i="26"/>
  <c r="F21" i="26"/>
  <c r="F59" i="26"/>
  <c r="F58" i="26"/>
  <c r="F20" i="27"/>
  <c r="F23" i="26"/>
  <c r="F60" i="26" s="1"/>
  <c r="E18" i="26"/>
  <c r="E20" i="26"/>
  <c r="E46" i="26" s="1"/>
  <c r="F56" i="27"/>
  <c r="F57" i="27"/>
  <c r="F55" i="27"/>
  <c r="E56" i="27"/>
  <c r="E59" i="26"/>
  <c r="F57" i="26"/>
  <c r="F47" i="26"/>
  <c r="F49" i="26"/>
  <c r="F48" i="26"/>
  <c r="F45" i="26"/>
  <c r="F23" i="27"/>
  <c r="F21" i="27"/>
  <c r="F19" i="27"/>
  <c r="E20" i="27"/>
  <c r="E46" i="27" s="1"/>
  <c r="E18" i="27"/>
  <c r="E44" i="27" s="1"/>
  <c r="F22" i="27"/>
  <c r="F48" i="27" s="1"/>
  <c r="F46" i="27"/>
  <c r="E45" i="27"/>
  <c r="E47" i="26"/>
  <c r="E49" i="26"/>
  <c r="F59" i="27"/>
  <c r="E19" i="26"/>
  <c r="E56" i="26" s="1"/>
  <c r="F18" i="26"/>
  <c r="F24" i="26" s="1"/>
  <c r="E57" i="26"/>
  <c r="E45" i="26"/>
  <c r="R60" i="26" l="1"/>
  <c r="N60" i="26"/>
  <c r="S60" i="26"/>
  <c r="M60" i="26"/>
  <c r="Q60" i="26"/>
  <c r="G60" i="26"/>
  <c r="O60" i="26"/>
  <c r="P60" i="26"/>
  <c r="L60" i="26"/>
  <c r="O48" i="27"/>
  <c r="S48" i="27"/>
  <c r="N48" i="27"/>
  <c r="R48" i="27"/>
  <c r="M48" i="27"/>
  <c r="M70" i="27" s="1"/>
  <c r="L48" i="27"/>
  <c r="P48" i="27"/>
  <c r="F70" i="27"/>
  <c r="Q48" i="27"/>
  <c r="G56" i="26"/>
  <c r="K56" i="26"/>
  <c r="T56" i="26" s="1"/>
  <c r="G46" i="26"/>
  <c r="E68" i="26"/>
  <c r="K46" i="26"/>
  <c r="K46" i="27"/>
  <c r="G46" i="27"/>
  <c r="E68" i="27"/>
  <c r="G68" i="27" s="1"/>
  <c r="G44" i="27"/>
  <c r="E50" i="27"/>
  <c r="K44" i="27"/>
  <c r="K49" i="26"/>
  <c r="E71" i="26"/>
  <c r="G71" i="26" s="1"/>
  <c r="G49" i="26"/>
  <c r="Q56" i="27"/>
  <c r="L56" i="27"/>
  <c r="N56" i="27"/>
  <c r="R56" i="27"/>
  <c r="P56" i="27"/>
  <c r="P59" i="26"/>
  <c r="L59" i="26"/>
  <c r="O59" i="26"/>
  <c r="M59" i="26"/>
  <c r="Q59" i="26"/>
  <c r="N59" i="26"/>
  <c r="S59" i="26"/>
  <c r="R59" i="26"/>
  <c r="E24" i="26"/>
  <c r="F58" i="27"/>
  <c r="F47" i="27"/>
  <c r="L57" i="26"/>
  <c r="L68" i="26" s="1"/>
  <c r="O57" i="26"/>
  <c r="O68" i="26" s="1"/>
  <c r="Q57" i="26"/>
  <c r="Q68" i="26" s="1"/>
  <c r="S57" i="26"/>
  <c r="S68" i="26" s="1"/>
  <c r="F68" i="26"/>
  <c r="R57" i="26"/>
  <c r="R68" i="26" s="1"/>
  <c r="E55" i="26"/>
  <c r="L59" i="27"/>
  <c r="P59" i="27"/>
  <c r="O59" i="27"/>
  <c r="S59" i="27"/>
  <c r="N59" i="27"/>
  <c r="R59" i="27"/>
  <c r="G59" i="27"/>
  <c r="M59" i="27"/>
  <c r="Q59" i="27"/>
  <c r="R49" i="26"/>
  <c r="R71" i="26" s="1"/>
  <c r="N49" i="26"/>
  <c r="N71" i="26" s="1"/>
  <c r="S49" i="26"/>
  <c r="S71" i="26" s="1"/>
  <c r="P49" i="26"/>
  <c r="P71" i="26" s="1"/>
  <c r="L49" i="26"/>
  <c r="L71" i="26" s="1"/>
  <c r="M49" i="26"/>
  <c r="M71" i="26" s="1"/>
  <c r="Q49" i="26"/>
  <c r="F71" i="26"/>
  <c r="O49" i="26"/>
  <c r="G57" i="26"/>
  <c r="K57" i="26"/>
  <c r="F49" i="27"/>
  <c r="F60" i="27"/>
  <c r="F61" i="27" s="1"/>
  <c r="L57" i="27"/>
  <c r="O57" i="27"/>
  <c r="S57" i="27"/>
  <c r="R57" i="27"/>
  <c r="Q57" i="27"/>
  <c r="G47" i="26"/>
  <c r="K47" i="26"/>
  <c r="E69" i="26"/>
  <c r="G9" i="21"/>
  <c r="F24" i="27"/>
  <c r="P45" i="26"/>
  <c r="P67" i="26" s="1"/>
  <c r="O45" i="26"/>
  <c r="O67" i="26" s="1"/>
  <c r="S45" i="26"/>
  <c r="S67" i="26" s="1"/>
  <c r="Q45" i="26"/>
  <c r="Q67" i="26" s="1"/>
  <c r="M45" i="26"/>
  <c r="M67" i="26" s="1"/>
  <c r="L45" i="26"/>
  <c r="L67" i="26" s="1"/>
  <c r="N45" i="26"/>
  <c r="N67" i="26" s="1"/>
  <c r="F67" i="26"/>
  <c r="R45" i="26"/>
  <c r="R67" i="26" s="1"/>
  <c r="K48" i="27"/>
  <c r="E70" i="27"/>
  <c r="G70" i="27" s="1"/>
  <c r="G48" i="27"/>
  <c r="P48" i="26"/>
  <c r="L48" i="26"/>
  <c r="O48" i="26"/>
  <c r="O70" i="26" s="1"/>
  <c r="M48" i="26"/>
  <c r="M70" i="26" s="1"/>
  <c r="Q48" i="26"/>
  <c r="Q70" i="26" s="1"/>
  <c r="R48" i="26"/>
  <c r="G48" i="26"/>
  <c r="N48" i="26"/>
  <c r="N70" i="26" s="1"/>
  <c r="F70" i="26"/>
  <c r="S48" i="26"/>
  <c r="S70" i="26" s="1"/>
  <c r="M58" i="26"/>
  <c r="R58" i="26"/>
  <c r="N58" i="26"/>
  <c r="S58" i="26"/>
  <c r="Q58" i="26"/>
  <c r="L58" i="26"/>
  <c r="G58" i="26"/>
  <c r="O58" i="26"/>
  <c r="P58" i="26"/>
  <c r="K47" i="27"/>
  <c r="E69" i="27"/>
  <c r="G47" i="27"/>
  <c r="K45" i="26"/>
  <c r="G45" i="26"/>
  <c r="E67" i="26"/>
  <c r="G67" i="26" s="1"/>
  <c r="E55" i="27"/>
  <c r="E24" i="27"/>
  <c r="R47" i="26"/>
  <c r="R69" i="26" s="1"/>
  <c r="N47" i="26"/>
  <c r="N69" i="26" s="1"/>
  <c r="S47" i="26"/>
  <c r="S69" i="26" s="1"/>
  <c r="M47" i="26"/>
  <c r="M69" i="26" s="1"/>
  <c r="P47" i="26"/>
  <c r="P69" i="26" s="1"/>
  <c r="L47" i="26"/>
  <c r="Q47" i="26"/>
  <c r="Q69" i="26" s="1"/>
  <c r="F69" i="26"/>
  <c r="O47" i="26"/>
  <c r="K45" i="27"/>
  <c r="E67" i="27"/>
  <c r="F55" i="26"/>
  <c r="E57" i="27"/>
  <c r="K59" i="26"/>
  <c r="G59" i="26"/>
  <c r="E70" i="26"/>
  <c r="G70" i="26" s="1"/>
  <c r="E44" i="26"/>
  <c r="L46" i="27"/>
  <c r="L68" i="27" s="1"/>
  <c r="P46" i="27"/>
  <c r="P68" i="27" s="1"/>
  <c r="O46" i="27"/>
  <c r="O68" i="27" s="1"/>
  <c r="S46" i="27"/>
  <c r="S68" i="27" s="1"/>
  <c r="N46" i="27"/>
  <c r="N68" i="27" s="1"/>
  <c r="R46" i="27"/>
  <c r="R68" i="27" s="1"/>
  <c r="Q46" i="27"/>
  <c r="Q68" i="27" s="1"/>
  <c r="M46" i="27"/>
  <c r="M68" i="27" s="1"/>
  <c r="F68" i="27"/>
  <c r="K56" i="27"/>
  <c r="G56" i="27"/>
  <c r="F45" i="27"/>
  <c r="F44" i="26"/>
  <c r="L55" i="27"/>
  <c r="L66" i="27" s="1"/>
  <c r="Q55" i="27"/>
  <c r="Q66" i="27" s="1"/>
  <c r="F66" i="27"/>
  <c r="O55" i="27"/>
  <c r="O66" i="27" s="1"/>
  <c r="R55" i="27"/>
  <c r="R66" i="27" s="1"/>
  <c r="G49" i="27"/>
  <c r="K49" i="27"/>
  <c r="E71" i="27"/>
  <c r="L61" i="27" l="1"/>
  <c r="R61" i="27"/>
  <c r="Q61" i="27"/>
  <c r="G10" i="21"/>
  <c r="F7" i="21"/>
  <c r="F11" i="21" s="1"/>
  <c r="N70" i="27"/>
  <c r="R45" i="27"/>
  <c r="R67" i="27" s="1"/>
  <c r="M45" i="27"/>
  <c r="M67" i="27" s="1"/>
  <c r="Q45" i="27"/>
  <c r="Q67" i="27" s="1"/>
  <c r="F67" i="27"/>
  <c r="F50" i="27"/>
  <c r="P45" i="27"/>
  <c r="P67" i="27" s="1"/>
  <c r="N45" i="27"/>
  <c r="N67" i="27" s="1"/>
  <c r="O45" i="27"/>
  <c r="O67" i="27" s="1"/>
  <c r="S45" i="27"/>
  <c r="S67" i="27" s="1"/>
  <c r="L45" i="27"/>
  <c r="L67" i="27" s="1"/>
  <c r="O69" i="26"/>
  <c r="G8" i="21"/>
  <c r="G69" i="26"/>
  <c r="M47" i="27"/>
  <c r="Q47" i="27"/>
  <c r="L47" i="27"/>
  <c r="P47" i="27"/>
  <c r="R47" i="27"/>
  <c r="S47" i="27"/>
  <c r="F69" i="27"/>
  <c r="G69" i="27" s="1"/>
  <c r="N47" i="27"/>
  <c r="N69" i="27" s="1"/>
  <c r="O47" i="27"/>
  <c r="H8" i="21"/>
  <c r="K68" i="27"/>
  <c r="T68" i="27" s="1"/>
  <c r="T46" i="27"/>
  <c r="F9" i="21"/>
  <c r="S70" i="27"/>
  <c r="K71" i="27"/>
  <c r="E61" i="26"/>
  <c r="G55" i="26"/>
  <c r="G61" i="26" s="1"/>
  <c r="K55" i="26"/>
  <c r="H7" i="21"/>
  <c r="R60" i="27"/>
  <c r="M60" i="27"/>
  <c r="Q60" i="27"/>
  <c r="L60" i="27"/>
  <c r="P60" i="27"/>
  <c r="N60" i="27"/>
  <c r="O60" i="27"/>
  <c r="S60" i="27"/>
  <c r="G60" i="27"/>
  <c r="R70" i="27"/>
  <c r="T58" i="26"/>
  <c r="K71" i="26"/>
  <c r="T49" i="26"/>
  <c r="T59" i="26"/>
  <c r="K70" i="26"/>
  <c r="E8" i="21"/>
  <c r="G7" i="21"/>
  <c r="G11" i="21" s="1"/>
  <c r="K69" i="26"/>
  <c r="T69" i="26" s="1"/>
  <c r="T47" i="26"/>
  <c r="O71" i="26"/>
  <c r="R58" i="27"/>
  <c r="G58" i="27"/>
  <c r="M58" i="27"/>
  <c r="Q58" i="27"/>
  <c r="L58" i="27"/>
  <c r="P58" i="27"/>
  <c r="N58" i="27"/>
  <c r="S58" i="27"/>
  <c r="O58" i="27"/>
  <c r="K66" i="27"/>
  <c r="T44" i="27"/>
  <c r="K50" i="27"/>
  <c r="H20" i="21"/>
  <c r="Q70" i="27"/>
  <c r="O70" i="27"/>
  <c r="I20" i="21"/>
  <c r="E66" i="26"/>
  <c r="K44" i="26"/>
  <c r="G44" i="26"/>
  <c r="G50" i="26" s="1"/>
  <c r="E50" i="26"/>
  <c r="F20" i="21"/>
  <c r="L70" i="26"/>
  <c r="T48" i="26"/>
  <c r="N44" i="26"/>
  <c r="S44" i="26"/>
  <c r="R44" i="26"/>
  <c r="M44" i="26"/>
  <c r="P44" i="26"/>
  <c r="F50" i="26"/>
  <c r="L44" i="26"/>
  <c r="F66" i="26"/>
  <c r="F72" i="26" s="1"/>
  <c r="Q44" i="26"/>
  <c r="O44" i="26"/>
  <c r="M49" i="27"/>
  <c r="M71" i="27" s="1"/>
  <c r="Q49" i="27"/>
  <c r="Q71" i="27" s="1"/>
  <c r="L49" i="27"/>
  <c r="L71" i="27" s="1"/>
  <c r="P49" i="27"/>
  <c r="P71" i="27" s="1"/>
  <c r="R49" i="27"/>
  <c r="F71" i="27"/>
  <c r="O49" i="27"/>
  <c r="O71" i="27" s="1"/>
  <c r="S49" i="27"/>
  <c r="S71" i="27" s="1"/>
  <c r="N49" i="27"/>
  <c r="L55" i="26"/>
  <c r="R55" i="26"/>
  <c r="Q55" i="26"/>
  <c r="F61" i="26"/>
  <c r="O55" i="26"/>
  <c r="K69" i="27"/>
  <c r="R70" i="26"/>
  <c r="I8" i="21"/>
  <c r="I11" i="21" s="1"/>
  <c r="K68" i="26"/>
  <c r="T68" i="26" s="1"/>
  <c r="T46" i="26"/>
  <c r="G21" i="21"/>
  <c r="G34" i="21" s="1"/>
  <c r="M23" i="22"/>
  <c r="N23" i="22" s="1"/>
  <c r="M48" i="22"/>
  <c r="N48" i="22" s="1"/>
  <c r="D20" i="21"/>
  <c r="T56" i="27"/>
  <c r="F10" i="21"/>
  <c r="E22" i="21"/>
  <c r="F22" i="21"/>
  <c r="F35" i="21" s="1"/>
  <c r="K57" i="27"/>
  <c r="T57" i="27" s="1"/>
  <c r="G57" i="27"/>
  <c r="G45" i="27"/>
  <c r="L69" i="26"/>
  <c r="K55" i="27"/>
  <c r="G55" i="27"/>
  <c r="G61" i="27" s="1"/>
  <c r="E61" i="27"/>
  <c r="M50" i="22"/>
  <c r="N50" i="22" s="1"/>
  <c r="M25" i="22"/>
  <c r="N25" i="22" s="1"/>
  <c r="D21" i="21"/>
  <c r="D34" i="21" s="1"/>
  <c r="T48" i="27"/>
  <c r="K70" i="27"/>
  <c r="T70" i="27" s="1"/>
  <c r="M19" i="22"/>
  <c r="N19" i="22" s="1"/>
  <c r="D8" i="21"/>
  <c r="M44" i="22"/>
  <c r="N44" i="22" s="1"/>
  <c r="I22" i="21"/>
  <c r="I35" i="21" s="1"/>
  <c r="T57" i="26"/>
  <c r="Q71" i="26"/>
  <c r="T59" i="27"/>
  <c r="E66" i="27"/>
  <c r="G68" i="26"/>
  <c r="P70" i="27"/>
  <c r="T60" i="26"/>
  <c r="K67" i="27"/>
  <c r="T45" i="27"/>
  <c r="H9" i="21"/>
  <c r="K67" i="26"/>
  <c r="T67" i="26" s="1"/>
  <c r="T45" i="26"/>
  <c r="H21" i="21"/>
  <c r="H34" i="21" s="1"/>
  <c r="P70" i="26"/>
  <c r="I9" i="21"/>
  <c r="G71" i="27"/>
  <c r="G67" i="27"/>
  <c r="E10" i="21"/>
  <c r="F21" i="21"/>
  <c r="F34" i="21" s="1"/>
  <c r="G23" i="21"/>
  <c r="G36" i="21" s="1"/>
  <c r="G22" i="21"/>
  <c r="G35" i="21" s="1"/>
  <c r="G50" i="27"/>
  <c r="L70" i="27"/>
  <c r="I10" i="21"/>
  <c r="Q72" i="27" l="1"/>
  <c r="T66" i="27"/>
  <c r="K72" i="27"/>
  <c r="N71" i="27"/>
  <c r="N72" i="27" s="1"/>
  <c r="T44" i="26"/>
  <c r="T50" i="26" s="1"/>
  <c r="K66" i="26"/>
  <c r="K50" i="26"/>
  <c r="M49" i="22"/>
  <c r="N49" i="22" s="1"/>
  <c r="D22" i="21"/>
  <c r="M24" i="22"/>
  <c r="N24" i="22" s="1"/>
  <c r="G66" i="26"/>
  <c r="G72" i="26" s="1"/>
  <c r="E72" i="26"/>
  <c r="E23" i="21"/>
  <c r="E36" i="21" s="1"/>
  <c r="S69" i="27"/>
  <c r="S72" i="27"/>
  <c r="P66" i="26"/>
  <c r="P72" i="26" s="1"/>
  <c r="P50" i="26"/>
  <c r="D7" i="21"/>
  <c r="M42" i="22"/>
  <c r="N42" i="22" s="1"/>
  <c r="M17" i="22"/>
  <c r="N17" i="22" s="1"/>
  <c r="T70" i="26"/>
  <c r="I23" i="21"/>
  <c r="I36" i="21" s="1"/>
  <c r="D9" i="21"/>
  <c r="J9" i="21" s="1"/>
  <c r="M43" i="22"/>
  <c r="N43" i="22" s="1"/>
  <c r="M18" i="22"/>
  <c r="N18" i="22" s="1"/>
  <c r="R69" i="27"/>
  <c r="R72" i="27" s="1"/>
  <c r="G20" i="21"/>
  <c r="E35" i="21"/>
  <c r="M66" i="26"/>
  <c r="M72" i="26" s="1"/>
  <c r="M50" i="26"/>
  <c r="F24" i="21"/>
  <c r="F33" i="21"/>
  <c r="F37" i="21" s="1"/>
  <c r="H11" i="21"/>
  <c r="T49" i="27"/>
  <c r="P69" i="27"/>
  <c r="T55" i="26"/>
  <c r="T61" i="26" s="1"/>
  <c r="K61" i="26"/>
  <c r="T67" i="27"/>
  <c r="Q61" i="26"/>
  <c r="L61" i="26"/>
  <c r="R61" i="26"/>
  <c r="L66" i="26"/>
  <c r="L72" i="26" s="1"/>
  <c r="L50" i="26"/>
  <c r="I21" i="21"/>
  <c r="I34" i="21" s="1"/>
  <c r="E7" i="21"/>
  <c r="E21" i="21"/>
  <c r="K61" i="27"/>
  <c r="T55" i="27"/>
  <c r="T61" i="27" s="1"/>
  <c r="F72" i="27"/>
  <c r="J20" i="21"/>
  <c r="D24" i="21"/>
  <c r="D33" i="21"/>
  <c r="E9" i="21"/>
  <c r="K9" i="21" s="1"/>
  <c r="R71" i="27"/>
  <c r="R66" i="26"/>
  <c r="R72" i="26" s="1"/>
  <c r="R50" i="26"/>
  <c r="I33" i="21"/>
  <c r="I24" i="21"/>
  <c r="I37" i="21" s="1"/>
  <c r="T58" i="27"/>
  <c r="P72" i="27"/>
  <c r="O66" i="26"/>
  <c r="O72" i="26" s="1"/>
  <c r="O50" i="26"/>
  <c r="Q69" i="27"/>
  <c r="P50" i="27"/>
  <c r="L50" i="27"/>
  <c r="O50" i="27"/>
  <c r="S50" i="27"/>
  <c r="N50" i="27"/>
  <c r="M50" i="27"/>
  <c r="R50" i="27"/>
  <c r="Q50" i="27"/>
  <c r="F62" i="27"/>
  <c r="T71" i="27"/>
  <c r="L69" i="27"/>
  <c r="L72" i="27" s="1"/>
  <c r="E72" i="27"/>
  <c r="G66" i="27"/>
  <c r="G72" i="27" s="1"/>
  <c r="T47" i="27"/>
  <c r="S66" i="26"/>
  <c r="S72" i="26" s="1"/>
  <c r="S50" i="26"/>
  <c r="E62" i="27"/>
  <c r="H22" i="21"/>
  <c r="H35" i="21" s="1"/>
  <c r="Q66" i="26"/>
  <c r="Q72" i="26" s="1"/>
  <c r="Q50" i="26"/>
  <c r="N66" i="26"/>
  <c r="N72" i="26" s="1"/>
  <c r="N50" i="26"/>
  <c r="H33" i="21"/>
  <c r="H24" i="21"/>
  <c r="H37" i="21" s="1"/>
  <c r="T50" i="27"/>
  <c r="T71" i="26"/>
  <c r="T60" i="27"/>
  <c r="O69" i="27"/>
  <c r="O72" i="27" s="1"/>
  <c r="M69" i="27"/>
  <c r="M72" i="27" s="1"/>
  <c r="K22" i="21" l="1"/>
  <c r="K35" i="21"/>
  <c r="T69" i="27"/>
  <c r="T72" i="27" s="1"/>
  <c r="E24" i="21"/>
  <c r="K20" i="21"/>
  <c r="K24" i="21" s="1"/>
  <c r="E34" i="21"/>
  <c r="G33" i="21"/>
  <c r="G37" i="21" s="1"/>
  <c r="G24" i="21"/>
  <c r="E11" i="21"/>
  <c r="K7" i="21"/>
  <c r="K11" i="21" s="1"/>
  <c r="M31" i="22"/>
  <c r="N31" i="22" s="1"/>
  <c r="M6" i="22"/>
  <c r="N6" i="22" s="1"/>
  <c r="J33" i="21"/>
  <c r="D37" i="21"/>
  <c r="J22" i="21"/>
  <c r="J24" i="21" s="1"/>
  <c r="D35" i="21"/>
  <c r="J35" i="21" s="1"/>
  <c r="J7" i="21"/>
  <c r="J11" i="21" s="1"/>
  <c r="D11" i="21"/>
  <c r="K72" i="26"/>
  <c r="T66" i="26"/>
  <c r="T72" i="26" s="1"/>
  <c r="J25" i="21" l="1"/>
  <c r="J12" i="21"/>
  <c r="L11" i="21"/>
  <c r="K12" i="21"/>
  <c r="M5" i="22"/>
  <c r="N5" i="22" s="1"/>
  <c r="M30" i="22"/>
  <c r="N30" i="22" s="1"/>
  <c r="L24" i="21"/>
  <c r="K25" i="21"/>
  <c r="J37" i="21"/>
  <c r="K33" i="21"/>
  <c r="K37" i="21" s="1"/>
  <c r="E37" i="21"/>
  <c r="J38" i="21" l="1"/>
  <c r="K38" i="21"/>
  <c r="L37" i="2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7E48BDB-3ABF-4F78-95B5-8F1D10B69EAF}" keepAlive="1" name="Consulta - data" description="Conexión a la consulta 'data' en el libro." type="5" refreshedVersion="6" background="1" saveData="1">
    <dbPr connection="Provider=Microsoft.Mashup.OleDb.1;Data Source=$Workbook$;Location=data;Extended Properties=&quot;&quot;" command="SELECT * FROM [data]"/>
  </connection>
  <connection id="2" xr16:uid="{42C5E777-1790-41FF-8C24-07A98EFD1E69}" keepAlive="1" name="Consulta - data2" description="Conexión a la consulta 'data2' en el libro." type="5" refreshedVersion="6" background="1" saveData="1">
    <dbPr connection="Provider=Microsoft.Mashup.OleDb.1;Data Source=$Workbook$;Location=data2;Extended Properties=&quot;&quot;" command="SELECT * FROM [data2]"/>
  </connection>
</connections>
</file>

<file path=xl/sharedStrings.xml><?xml version="1.0" encoding="utf-8"?>
<sst xmlns="http://schemas.openxmlformats.org/spreadsheetml/2006/main" count="1252" uniqueCount="325">
  <si>
    <t>Ligero</t>
  </si>
  <si>
    <t>Tipo de tracción</t>
  </si>
  <si>
    <t>Eléctrica</t>
  </si>
  <si>
    <t>Tipo de tráfico</t>
  </si>
  <si>
    <t>Nacional</t>
  </si>
  <si>
    <t>Operador</t>
  </si>
  <si>
    <t>Low Cost Rail</t>
  </si>
  <si>
    <t>Captrain</t>
  </si>
  <si>
    <t>Continental</t>
  </si>
  <si>
    <t>Go Transport</t>
  </si>
  <si>
    <t>Otros</t>
  </si>
  <si>
    <t>Logitren</t>
  </si>
  <si>
    <t>Medway</t>
  </si>
  <si>
    <t>Transfesa</t>
  </si>
  <si>
    <t>Eléctrico</t>
  </si>
  <si>
    <t>Internacional</t>
  </si>
  <si>
    <t>ligero</t>
  </si>
  <si>
    <t>Ámbito</t>
  </si>
  <si>
    <t>TOTAL</t>
  </si>
  <si>
    <t>Renfe</t>
  </si>
  <si>
    <t>privado</t>
  </si>
  <si>
    <t>público</t>
  </si>
  <si>
    <t>Diésel 1</t>
  </si>
  <si>
    <t>Diesel 1</t>
  </si>
  <si>
    <t>Tipo de traccion</t>
  </si>
  <si>
    <t>Diesel 0</t>
  </si>
  <si>
    <t>denso</t>
  </si>
  <si>
    <t>Diésel 0</t>
  </si>
  <si>
    <t>Tipo de tráfico / Eficiencia</t>
  </si>
  <si>
    <t>ligero / &lt; 40%</t>
  </si>
  <si>
    <r>
      <t xml:space="preserve">denso / </t>
    </r>
    <r>
      <rPr>
        <sz val="11"/>
        <color theme="1"/>
        <rFont val="Calibri"/>
        <family val="2"/>
      </rPr>
      <t>≥</t>
    </r>
    <r>
      <rPr>
        <sz val="5.85"/>
        <color theme="1"/>
        <rFont val="Calibri"/>
        <family val="2"/>
      </rPr>
      <t xml:space="preserve"> </t>
    </r>
    <r>
      <rPr>
        <sz val="11"/>
        <color theme="1"/>
        <rFont val="Calibri"/>
        <family val="2"/>
        <scheme val="minor"/>
      </rPr>
      <t>40%</t>
    </r>
  </si>
  <si>
    <t>Denso</t>
  </si>
  <si>
    <t>Diésel</t>
  </si>
  <si>
    <t>carga bruta remolcada</t>
  </si>
  <si>
    <t>12.5.4</t>
  </si>
  <si>
    <t>12.6</t>
  </si>
  <si>
    <t>carga neta remolcada</t>
  </si>
  <si>
    <t>mM t-km</t>
  </si>
  <si>
    <t>Mt</t>
  </si>
  <si>
    <t>M t-km</t>
  </si>
  <si>
    <t>Todos</t>
  </si>
  <si>
    <t>Ancho</t>
  </si>
  <si>
    <t>ibérico/UIC</t>
  </si>
  <si>
    <t>métrico</t>
  </si>
  <si>
    <t>Feve</t>
  </si>
  <si>
    <t>privados</t>
  </si>
  <si>
    <t>12.7</t>
  </si>
  <si>
    <t>Tracción</t>
  </si>
  <si>
    <t>eléctrica</t>
  </si>
  <si>
    <t>diésel</t>
  </si>
  <si>
    <t>todas</t>
  </si>
  <si>
    <t>Mton</t>
  </si>
  <si>
    <t>nacional</t>
  </si>
  <si>
    <t>todos</t>
  </si>
  <si>
    <t>internacional</t>
  </si>
  <si>
    <t>12.7.1</t>
  </si>
  <si>
    <t>12.7.5</t>
  </si>
  <si>
    <t>Aprovechamiento medio</t>
  </si>
  <si>
    <t>%</t>
  </si>
  <si>
    <t>contenedor</t>
  </si>
  <si>
    <t>Tipo tráfico</t>
  </si>
  <si>
    <t>Unidad</t>
  </si>
  <si>
    <t>Concepto</t>
  </si>
  <si>
    <t>Tabla</t>
  </si>
  <si>
    <t>Año</t>
  </si>
  <si>
    <t>Tráfico</t>
  </si>
  <si>
    <t>dif</t>
  </si>
  <si>
    <t>ok</t>
  </si>
  <si>
    <t>carbón</t>
  </si>
  <si>
    <t>revisar</t>
  </si>
  <si>
    <t>no es comparable sólo km nacionales</t>
  </si>
  <si>
    <t>revisar (igual se puede compensar con denso)</t>
  </si>
  <si>
    <t>revisar (igual se puede compnesar con ligero)</t>
  </si>
  <si>
    <t>revisar, igual se puede compensar con el ligero INT</t>
  </si>
  <si>
    <t>revisar, si sólo cogemos km nacionales tiene que ser mayor</t>
  </si>
  <si>
    <t>no es comparable</t>
  </si>
  <si>
    <t>revisar…</t>
  </si>
  <si>
    <t>comentario</t>
  </si>
  <si>
    <t>el contenedor da una eficiencia mayor de la que pensamos</t>
  </si>
  <si>
    <t>Opción 1</t>
  </si>
  <si>
    <t>Opción 2</t>
  </si>
  <si>
    <t>SIMULACIÓN</t>
  </si>
  <si>
    <r>
      <t>Valores incentivo MITMA</t>
    </r>
    <r>
      <rPr>
        <b/>
        <vertAlign val="superscript"/>
        <sz val="11"/>
        <color theme="1"/>
        <rFont val="Calibri"/>
        <family val="2"/>
        <scheme val="minor"/>
      </rPr>
      <t>1</t>
    </r>
    <r>
      <rPr>
        <b/>
        <sz val="11"/>
        <color theme="1"/>
        <rFont val="Calibri"/>
        <family val="2"/>
        <scheme val="minor"/>
      </rPr>
      <t xml:space="preserve"> (en c€/t-km)</t>
    </r>
  </si>
  <si>
    <r>
      <rPr>
        <vertAlign val="superscript"/>
        <sz val="11"/>
        <color theme="1"/>
        <rFont val="Calibri"/>
        <family val="2"/>
        <scheme val="minor"/>
      </rPr>
      <t>1</t>
    </r>
    <r>
      <rPr>
        <sz val="11"/>
        <color theme="1"/>
        <rFont val="Calibri"/>
        <family val="2"/>
        <scheme val="minor"/>
      </rPr>
      <t xml:space="preserve"> borrador solicitud ayuda de Estado año 2018</t>
    </r>
  </si>
  <si>
    <t>Trabajo (tkm)</t>
  </si>
  <si>
    <t>Datos Anuario OTLE y CNMC 2017</t>
  </si>
  <si>
    <t>Con carbon</t>
  </si>
  <si>
    <t>Sin Carbon</t>
  </si>
  <si>
    <t>Sin Carbon Sin Metrico</t>
  </si>
  <si>
    <t>Total Trabajo (tkms)</t>
  </si>
  <si>
    <t>Se asume que tdo el trafico de carbon es nacional y de renfe
Se asume que los componentes de automocion son trafico ligero
Se asume que las t-km internacionales de anuarios solo incluyen KM en españa</t>
  </si>
  <si>
    <t>resta al dato del anuario el de CNMC vehiculos</t>
  </si>
  <si>
    <t>Privados</t>
  </si>
  <si>
    <t>Carbon</t>
  </si>
  <si>
    <t>(Graneles 2017-2019)</t>
  </si>
  <si>
    <t>Resto</t>
  </si>
  <si>
    <t>Trafico (t)</t>
  </si>
  <si>
    <t>Datos Anuario OTLE y CNMC- 2017</t>
  </si>
  <si>
    <t>Total trafico (t)</t>
  </si>
  <si>
    <t>NOTAS Y ACLARACIONES</t>
  </si>
  <si>
    <t>Suposiciones Traficos de ancho metrico</t>
  </si>
  <si>
    <t>ton</t>
  </si>
  <si>
    <t xml:space="preserve">asunciones CCAA </t>
  </si>
  <si>
    <t>nacional, denso resto</t>
  </si>
  <si>
    <t>a restar de privadas</t>
  </si>
  <si>
    <t>nacional, ligero</t>
  </si>
  <si>
    <t>FEVE a restar a RENFE</t>
  </si>
  <si>
    <t>ton-km</t>
  </si>
  <si>
    <t>Caracterizacion del trafico internacional</t>
  </si>
  <si>
    <t>El proceso seguido es el siguiente:</t>
  </si>
  <si>
    <t>Total tkms tráfico ferroviario internacional 2017:         1.799,45 M tkm Referencia https://apps.fomento.gob.es/BDOTLE/visorBDpop.aspx?i=303</t>
  </si>
  <si>
    <t>Vagón completo (Incluye automoción):        850,91 Mtkm             Referencia: idem total</t>
  </si>
  <si>
    <t>Intermodal:                                                   948,53 M tkm Referencia:idem total</t>
  </si>
  <si>
    <t>Para conocer el tráfico de acuerdo a nuestra caracterización es necesario extraer las tkms de automoción del vagón completo y añadirlas al intermodal, para ello:</t>
  </si>
  <si>
    <t>Total tkms trafico automoción 2017: 10400 (tkms totales 2017) *0.454 (% tkms vagon completo)*(0.086 (% tkms automovil de vagon completo) + 0.056  (% tkms componentes de automocion de vagon completo) = 670 M tkm                         Referencia: https://www.cnmc.es/sites/default/files/2264652_6.pdf      Pag 12</t>
  </si>
  <si>
    <t>Total tráfico aumotoción nacional 2017: 404 M tkm   Referencia: https://apps.fomento.gob.es/BDOTLE/visorBDpop.aspx?i=303  </t>
  </si>
  <si>
    <t>Total trafico automoción internacional 2017: 670 - 401 =  269 M tkm   Asunción: asumimos que la referencia de arriba incluye los componentes de automoción dentro de la categoría automovil.</t>
  </si>
  <si>
    <t>Una vez tenemos el total de tráfico de automoción, calculamos las tkms para ligero y pesado internacionales:</t>
  </si>
  <si>
    <t>Trafico Ligero: 948,5 M tkm + 269,4 M tkm = 1217,9 M tkm</t>
  </si>
  <si>
    <t>Trafico Pesado: 850,9 M tkm - 269,4 M tkm  = 581,5 M tkm</t>
  </si>
  <si>
    <t>A continuación añadimos los datos de tráfico ligero y pesado caracterizamos por operador utilizando los datos del anuario:</t>
  </si>
  <si>
    <t>Trafico Ligero RENFE:                                                         1038,0 M tkm  Referencia: Anuario 2017 </t>
  </si>
  <si>
    <t>Trafico Ligero Privados: 1217,9 M tkm -  1038,0 M tkm   = 179,9 M tkm</t>
  </si>
  <si>
    <t>Trafico Pesado RENFE:                                                         150 M tkm</t>
  </si>
  <si>
    <t>Trafico Pesado Privados: 581,5 M tkm - 150 M tkm        = 431,5 M tkm</t>
  </si>
  <si>
    <t>MUESTRA CARACTERIZADA</t>
  </si>
  <si>
    <t>Muestra de tráfico caracterizada (toneladas)</t>
  </si>
  <si>
    <t>Muestra de tráfico caracterizada (% reparto privados, en toneladas)</t>
  </si>
  <si>
    <t>AJUSTE ANUARIO (MITMA, FFE, CNMC)</t>
  </si>
  <si>
    <t>RESULTADOS</t>
  </si>
  <si>
    <t>Tráfico NACIONAL, ajustado anuario. Año 2017</t>
  </si>
  <si>
    <t>Tráfico NACIONAL, reparto operadores. Año 2017</t>
  </si>
  <si>
    <t>Tráfico INTERNACIONAL, ajustado anuario. Año 2017</t>
  </si>
  <si>
    <t>Tráfico INTERNACIONAL, reparto operadores. Año 2017</t>
  </si>
  <si>
    <t>Tráfico TOTAL (2017) ajustado anuario</t>
  </si>
  <si>
    <t>Tráfico TOTAL (2017) ajustado anuario, reparto operadores</t>
  </si>
  <si>
    <t>distancia media</t>
  </si>
  <si>
    <t>Tráfico TOTAL, ajustado anuario. Año 2017 (excluido carbón y ancho métrico)</t>
  </si>
  <si>
    <t>Tráfico ferroviario, en toneladas. Excluido carbón y ancho métrico. Elaboración propia. Año 2017</t>
  </si>
  <si>
    <t>Tráfico ferroviario, en toneladas-kilómetro. Excluido carbón y ancho métrico. Elaboración propia. Año 2017</t>
  </si>
  <si>
    <t>Presupuesto esquema, en millones de €/año</t>
  </si>
  <si>
    <t>resto</t>
  </si>
  <si>
    <t>intermodal / autos</t>
  </si>
  <si>
    <t>Intermodal / autos</t>
  </si>
  <si>
    <t>Brittany Ferries</t>
  </si>
  <si>
    <r>
      <t xml:space="preserve">Oferta de servicios de transporte marítimo de mercancías </t>
    </r>
    <r>
      <rPr>
        <b/>
        <sz val="11"/>
        <color theme="9"/>
        <rFont val="Calibri"/>
        <family val="2"/>
        <scheme val="minor"/>
      </rPr>
      <t>(compañías españolas)</t>
    </r>
  </si>
  <si>
    <t>Ámbito geográfico / mercado</t>
  </si>
  <si>
    <t>Navieras</t>
  </si>
  <si>
    <t>Servicios</t>
  </si>
  <si>
    <t>Segmento</t>
  </si>
  <si>
    <t>Frecuencia (salidas/sem)</t>
  </si>
  <si>
    <t>Cabotaje</t>
  </si>
  <si>
    <r>
      <rPr>
        <sz val="11"/>
        <color theme="9"/>
        <rFont val="Calibri"/>
        <family val="2"/>
        <scheme val="minor"/>
      </rPr>
      <t xml:space="preserve">Balearia
</t>
    </r>
    <r>
      <rPr>
        <sz val="11"/>
        <color theme="1"/>
        <rFont val="Calibri"/>
        <family val="2"/>
        <scheme val="minor"/>
      </rPr>
      <t>Balearia &amp; Fred Olsen (*)</t>
    </r>
  </si>
  <si>
    <t>Península-Baleares
Interinsular Baleares
Península-Canarias (*)</t>
  </si>
  <si>
    <t>ro-pax</t>
  </si>
  <si>
    <t>6 o más
7 o más
2</t>
  </si>
  <si>
    <t>OPDR</t>
  </si>
  <si>
    <t>Península-Canarias</t>
  </si>
  <si>
    <t>ro-lo</t>
  </si>
  <si>
    <t>Boluda</t>
  </si>
  <si>
    <t>Sevilla-Cádiz-Sevilla
Cádiz-Las Palmas-SC Tenerife</t>
  </si>
  <si>
    <t>Portacontenedor</t>
  </si>
  <si>
    <t>5
6</t>
  </si>
  <si>
    <r>
      <t xml:space="preserve">WEC, </t>
    </r>
    <r>
      <rPr>
        <sz val="11"/>
        <color theme="9"/>
        <rFont val="Calibri"/>
        <family val="2"/>
        <scheme val="minor"/>
      </rPr>
      <t>NISA, JSV,ALISIOS</t>
    </r>
  </si>
  <si>
    <t>Maritima Peregar
Balearia</t>
  </si>
  <si>
    <t>Málaga-Melilla-Málaga
Málaga-Ceuta-Málaga</t>
  </si>
  <si>
    <t>ro-lo / ro-ro</t>
  </si>
  <si>
    <t>3
3</t>
  </si>
  <si>
    <t>Armas-Trasmediterránea</t>
  </si>
  <si>
    <t>Interinsular Canarias
Interinsular Baleares
Península-Canarias
Península-Baleares</t>
  </si>
  <si>
    <t>3 o más
3 o más
1
5 o más</t>
  </si>
  <si>
    <t>FRS</t>
  </si>
  <si>
    <t>Peninsula Canarias</t>
  </si>
  <si>
    <t>Fred Olsen</t>
  </si>
  <si>
    <t>Interinsular Canarias</t>
  </si>
  <si>
    <t>7 o más</t>
  </si>
  <si>
    <t>Exterior (UE)</t>
  </si>
  <si>
    <t>Grimaldi Lines</t>
  </si>
  <si>
    <t>Barcelona-Civitavechia
Barcelona-Livorno
Valencia-Livorno
Valencia-Salerno</t>
  </si>
  <si>
    <t>ro-pax / ro-ro</t>
  </si>
  <si>
    <t>6
3
3
3</t>
  </si>
  <si>
    <t>Finnlines</t>
  </si>
  <si>
    <t>Bilbao-Bélgica</t>
  </si>
  <si>
    <t>ro-ro (MG)</t>
  </si>
  <si>
    <t>&lt; 3</t>
  </si>
  <si>
    <t>Bilbao-Alemania</t>
  </si>
  <si>
    <t>Santander-Plymouth</t>
  </si>
  <si>
    <t>Santander-Portsmouth</t>
  </si>
  <si>
    <t>Bilbao-Portsmouth</t>
  </si>
  <si>
    <t>Bilbao-Rosslare</t>
  </si>
  <si>
    <t>CLN (Cobelfret)</t>
  </si>
  <si>
    <t>Santander - Cork</t>
  </si>
  <si>
    <t>ro-ro</t>
  </si>
  <si>
    <t>Corsica Lines</t>
  </si>
  <si>
    <t>Cartagena-Sete (FR)</t>
  </si>
  <si>
    <t>DFDS/EKOL</t>
  </si>
  <si>
    <t>Tarragona-Ismir</t>
  </si>
  <si>
    <t>Flota Suardíaz</t>
  </si>
  <si>
    <t>Vigo-St. Nazaire</t>
  </si>
  <si>
    <t>Exterior
(Norte África)</t>
  </si>
  <si>
    <t>Algeciras-Tanger Med
Motril-Tanger Med</t>
  </si>
  <si>
    <t>4
1</t>
  </si>
  <si>
    <t>Moroco Cruise Line</t>
  </si>
  <si>
    <t>Motril-Tanger Med</t>
  </si>
  <si>
    <t>Balearia</t>
  </si>
  <si>
    <t>Península Norte de África</t>
  </si>
  <si>
    <t>2 o más</t>
  </si>
  <si>
    <t>Armas-Transmediterránea</t>
  </si>
  <si>
    <t>3 o más</t>
  </si>
  <si>
    <t>GNV</t>
  </si>
  <si>
    <t>Barcelona-Tanger</t>
  </si>
  <si>
    <r>
      <t xml:space="preserve">Vigo-Tánger
</t>
    </r>
    <r>
      <rPr>
        <sz val="11"/>
        <rFont val="Calibri"/>
        <family val="2"/>
        <scheme val="minor"/>
      </rPr>
      <t>Barcelona-Tánger</t>
    </r>
  </si>
  <si>
    <t>1
2</t>
  </si>
  <si>
    <t>NOTA: Información estimada a partir de fuentes indirectas</t>
  </si>
  <si>
    <t>UTIS SSS 2019-20 ITALIA (para PPE). APB</t>
  </si>
  <si>
    <t>Datos APV</t>
  </si>
  <si>
    <t>Embarque</t>
  </si>
  <si>
    <t>Desembarque</t>
  </si>
  <si>
    <t>Tránsito</t>
  </si>
  <si>
    <t>Utis</t>
  </si>
  <si>
    <t>Año Servicio</t>
  </si>
  <si>
    <t>Naviera</t>
  </si>
  <si>
    <t>Servicio Marítimo</t>
  </si>
  <si>
    <t>Lleno</t>
  </si>
  <si>
    <t>Vacío</t>
  </si>
  <si>
    <t>Tipo Operacion Mercancia</t>
  </si>
  <si>
    <t>Puerto Carga-Descarga Merc.</t>
  </si>
  <si>
    <t>IGNAZIO MESSINA AND CO., SPA</t>
  </si>
  <si>
    <t>AFRICA DEL SUR ORIENTAL/OCCIDENTAL Y MEDITERRANEO</t>
  </si>
  <si>
    <t xml:space="preserve">Carga                         </t>
  </si>
  <si>
    <t>CAGLIARI (IT)</t>
  </si>
  <si>
    <t>GRIMALDI EUROMED SPA</t>
  </si>
  <si>
    <t>LIV-SAV-BCN-VLC</t>
  </si>
  <si>
    <t>CIVITAVECCHIA (IT)</t>
  </si>
  <si>
    <t>SERVEI BCN TÁNGER SAVONA</t>
  </si>
  <si>
    <t>LIVORNO (IT)</t>
  </si>
  <si>
    <t>WEST EAST MED LINE ( GRIMALDI)</t>
  </si>
  <si>
    <t>SALERNO (IT)</t>
  </si>
  <si>
    <t>BARCELONA-PORTO TORRES-CIVITAVECCHIA</t>
  </si>
  <si>
    <t>SAVONA (IT)</t>
  </si>
  <si>
    <t xml:space="preserve">Total Carga                         </t>
  </si>
  <si>
    <t>GRANDI NAVI VELOCI</t>
  </si>
  <si>
    <t>BCN-SETE-TANGER MED</t>
  </si>
  <si>
    <t xml:space="preserve">Descarga                      </t>
  </si>
  <si>
    <t>GRANDI NAVI VELOCI            BARCELONA-TANGER MED</t>
  </si>
  <si>
    <t>AFRICA DEL SUR ORIENTAL-OCCIDENTAL Y MEDITERRANEO</t>
  </si>
  <si>
    <t>OLBIA (IT)</t>
  </si>
  <si>
    <t xml:space="preserve">Total Descarga                      </t>
  </si>
  <si>
    <t>Total general</t>
  </si>
  <si>
    <t>Tipo de combustible y filtros</t>
  </si>
  <si>
    <t>BUQUE 1</t>
  </si>
  <si>
    <t>Nombre buque</t>
  </si>
  <si>
    <t>Nº IMO</t>
  </si>
  <si>
    <t>Nº buques asignados al servicio</t>
  </si>
  <si>
    <t>BUQUE 2</t>
  </si>
  <si>
    <t>INFORMACIÓN GENERAL DEL SERVICIO</t>
  </si>
  <si>
    <t>Tipo de buque</t>
  </si>
  <si>
    <r>
      <t xml:space="preserve">Capacidad disponible
</t>
    </r>
    <r>
      <rPr>
        <sz val="11"/>
        <color theme="1"/>
        <rFont val="Calibri"/>
        <family val="2"/>
        <scheme val="minor"/>
      </rPr>
      <t>(ml para carga rodada)</t>
    </r>
  </si>
  <si>
    <t>Cod. Servicio</t>
  </si>
  <si>
    <t xml:space="preserve">Cod. Línea </t>
  </si>
  <si>
    <t>….</t>
  </si>
  <si>
    <t>Desempeño ambiental del buque</t>
  </si>
  <si>
    <r>
      <t xml:space="preserve">Velocidad media </t>
    </r>
    <r>
      <rPr>
        <sz val="11"/>
        <color theme="1"/>
        <rFont val="Calibri"/>
        <family val="2"/>
        <scheme val="minor"/>
      </rPr>
      <t>(nudos)</t>
    </r>
  </si>
  <si>
    <t>Caracetrísticas generales del buque</t>
  </si>
  <si>
    <r>
      <t xml:space="preserve">Velocidad
</t>
    </r>
    <r>
      <rPr>
        <sz val="11"/>
        <color theme="1"/>
        <rFont val="Calibri"/>
        <family val="2"/>
        <scheme val="minor"/>
      </rPr>
      <t xml:space="preserve"> (nudos)</t>
    </r>
  </si>
  <si>
    <r>
      <t xml:space="preserve">Travesía
</t>
    </r>
    <r>
      <rPr>
        <sz val="11"/>
        <color theme="1"/>
        <rFont val="Calibri"/>
        <family val="2"/>
        <scheme val="minor"/>
      </rPr>
      <t xml:space="preserve"> (millas naúticas)</t>
    </r>
  </si>
  <si>
    <r>
      <t xml:space="preserve">Tiempo
 navegación </t>
    </r>
    <r>
      <rPr>
        <sz val="11"/>
        <color theme="1"/>
        <rFont val="Calibri"/>
        <family val="2"/>
        <scheme val="minor"/>
      </rPr>
      <t>(h)</t>
    </r>
  </si>
  <si>
    <t>¿Servicio es elegible?</t>
  </si>
  <si>
    <t>DESEMBARQUE</t>
  </si>
  <si>
    <t>EMBARQUE</t>
  </si>
  <si>
    <t>TOTAL LÍNEA</t>
  </si>
  <si>
    <t xml:space="preserve">Programación de la línea en la que opera el buque* </t>
  </si>
  <si>
    <t>* Indicar el nº de semanas que opera el buque con esta programación</t>
  </si>
  <si>
    <t>Frecuencia del servicio (semanal)</t>
  </si>
  <si>
    <t>TRÁFICO PARA CADA SERVICIO DE LA LÍNEA</t>
  </si>
  <si>
    <t>Nº de semanas que sigue el patrón:</t>
  </si>
  <si>
    <t>Puerto de escala 1</t>
  </si>
  <si>
    <t>Puerto de escala 2</t>
  </si>
  <si>
    <t>Puerto de escala n</t>
  </si>
  <si>
    <t>INFORMACIÓN DE LA LÍNEA MARÍTIMA A LA QUE PERTENECE EL SERVICIO</t>
  </si>
  <si>
    <t>INFORMACIÓN DE LOS BUQUES ASOCIADOS AL SERVICIO</t>
  </si>
  <si>
    <t>BUQUE N</t>
  </si>
  <si>
    <t>Emisión cero en puerto o baterías (OPS)</t>
  </si>
  <si>
    <t>Camión Rígido</t>
  </si>
  <si>
    <t>Remolque</t>
  </si>
  <si>
    <t>Semirremolque</t>
  </si>
  <si>
    <t>OTROS</t>
  </si>
  <si>
    <t>SCRUBBER ( HFO 2%) + SCR</t>
  </si>
  <si>
    <t>SCRUBBER ( HFO 2%)</t>
  </si>
  <si>
    <t>LNG</t>
  </si>
  <si>
    <t>LS HFO 0,5%</t>
  </si>
  <si>
    <t>Ro - Pax</t>
  </si>
  <si>
    <t>HFO 1,5%</t>
  </si>
  <si>
    <t>Con - Ro</t>
  </si>
  <si>
    <t>Sí</t>
  </si>
  <si>
    <t>MDO 0,5%</t>
  </si>
  <si>
    <t>Ro - Ro</t>
  </si>
  <si>
    <t>No</t>
  </si>
  <si>
    <r>
      <t xml:space="preserve">Replicar lo mismo que para el </t>
    </r>
    <r>
      <rPr>
        <b/>
        <sz val="11"/>
        <color theme="1"/>
        <rFont val="Calibri"/>
        <family val="2"/>
        <scheme val="minor"/>
      </rPr>
      <t>BUQUE 1</t>
    </r>
  </si>
  <si>
    <r>
      <t xml:space="preserve">Consumo 
medio de combustible navegación </t>
    </r>
    <r>
      <rPr>
        <sz val="11"/>
        <color theme="1"/>
        <rFont val="Calibri"/>
        <family val="2"/>
        <scheme val="minor"/>
      </rPr>
      <t>(t/día)</t>
    </r>
  </si>
  <si>
    <r>
      <t xml:space="preserve">Duración </t>
    </r>
    <r>
      <rPr>
        <sz val="11"/>
        <color theme="1"/>
        <rFont val="Calibri"/>
        <family val="2"/>
        <scheme val="minor"/>
      </rPr>
      <t>(h)</t>
    </r>
  </si>
  <si>
    <t>PROGRAMACIÓN DE LA LÍNEA EN LA QUE OPERA EL BUQUE Y DESEMPEÑO AMBIENTAL DEL BUQUE</t>
  </si>
  <si>
    <r>
      <t xml:space="preserve">Veh en régimen Pax/ año
</t>
    </r>
    <r>
      <rPr>
        <sz val="11"/>
        <color theme="1"/>
        <rFont val="Calibri"/>
        <family val="2"/>
        <scheme val="minor"/>
      </rPr>
      <t>(nº)</t>
    </r>
  </si>
  <si>
    <r>
      <t xml:space="preserve">Veh en régimen de mercancía /año
</t>
    </r>
    <r>
      <rPr>
        <sz val="11"/>
        <color theme="1"/>
        <rFont val="Calibri"/>
        <family val="2"/>
        <scheme val="minor"/>
      </rPr>
      <t>(nº)</t>
    </r>
  </si>
  <si>
    <r>
      <t xml:space="preserve">Nº unidades elegibles /año
</t>
    </r>
    <r>
      <rPr>
        <sz val="11"/>
        <color theme="1"/>
        <rFont val="Calibri"/>
        <family val="2"/>
        <scheme val="minor"/>
      </rPr>
      <t>(nº)</t>
    </r>
  </si>
  <si>
    <r>
      <t xml:space="preserve">Veh en régimen Pax /año
</t>
    </r>
    <r>
      <rPr>
        <sz val="11"/>
        <color theme="1"/>
        <rFont val="Calibri"/>
        <family val="2"/>
        <scheme val="minor"/>
      </rPr>
      <t>(nº)</t>
    </r>
  </si>
  <si>
    <t>Puerto Origen del Servicio</t>
  </si>
  <si>
    <t>Puerto Destino del Servicio</t>
  </si>
  <si>
    <t>Nota: se puede adaptar la tabla según las características de la línea</t>
  </si>
  <si>
    <t>Puerto inicio línea</t>
  </si>
  <si>
    <t>Puerto final línea</t>
  </si>
  <si>
    <t>Puerto inicio travesía</t>
  </si>
  <si>
    <t>Puerto final travesía</t>
  </si>
  <si>
    <t>Para cada fila se deberá de rellenar con la información correspondiente a cada una de las travesías que se realizan al recorrer la totalidad de la línea</t>
  </si>
  <si>
    <r>
      <t xml:space="preserve">Consumo medio combustible estancia en cada puerto </t>
    </r>
    <r>
      <rPr>
        <sz val="11"/>
        <color theme="1"/>
        <rFont val="Calibri"/>
        <family val="2"/>
        <scheme val="minor"/>
      </rPr>
      <t>(t/día)</t>
    </r>
  </si>
  <si>
    <t>SERVICIOS*</t>
  </si>
  <si>
    <t xml:space="preserve">* Se deberá de rellenar todos los servicios de la línea sean elegibles o no. </t>
  </si>
  <si>
    <r>
      <rPr>
        <b/>
        <sz val="11"/>
        <color theme="1"/>
        <rFont val="Calibri"/>
        <family val="2"/>
        <scheme val="minor"/>
      </rPr>
      <t xml:space="preserve">Nota: </t>
    </r>
    <r>
      <rPr>
        <sz val="11"/>
        <color theme="1"/>
        <rFont val="Calibri"/>
        <family val="2"/>
        <scheme val="minor"/>
      </rPr>
      <t xml:space="preserve"> Se refiere al tráfico durante el año anterior.  En caso de servicios nuevos, se indicarán valores estimados</t>
    </r>
  </si>
  <si>
    <t>Código de la línea</t>
  </si>
  <si>
    <t>* Nota: el puerto de origen debe de ser en todo caso un puerto español</t>
  </si>
  <si>
    <r>
      <t xml:space="preserve">Otras unidades no elegibles/año
</t>
    </r>
    <r>
      <rPr>
        <sz val="11"/>
        <color theme="1"/>
        <rFont val="Calibri"/>
        <family val="2"/>
        <scheme val="minor"/>
      </rPr>
      <t>(nº)</t>
    </r>
  </si>
  <si>
    <t>SERVICIO UNIDIRECCIONAL</t>
  </si>
  <si>
    <t>SUBTOTAL</t>
  </si>
  <si>
    <t>(sentido ida)</t>
  </si>
  <si>
    <t>(sentido vuelta)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</si>
</sst>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_-* #,##0_-;\-* #,##0_-;_-* &quot;-&quot;??_-;_-@_-"/>
    <numFmt numFmtId="167" formatCode="#,##0_ ;\-#,##0\ "/>
    <numFmt numFmtId="168" formatCode="#,##0.0_ ;\-#,##0.0\ "/>
  </numFmts>
  <fonts count="24" x14ac:knownFonts="1">
    <font>
      <sz val="11"/>
      <color theme="1"/>
      <name val="Calibri"/>
      <family val="2"/>
      <scheme val="minor"/>
    </font>
    <font>
      <b/>
      <sz val="11"/>
      <color theme="1"/>
      <name val="Calibri"/>
      <family val="2"/>
      <scheme val="minor"/>
    </font>
    <font>
      <b/>
      <vertAlign val="superscript"/>
      <sz val="11"/>
      <color theme="1"/>
      <name val="Calibri"/>
      <family val="2"/>
      <scheme val="minor"/>
    </font>
    <font>
      <sz val="11"/>
      <color theme="1"/>
      <name val="Calibri"/>
      <family val="2"/>
      <scheme val="minor"/>
    </font>
    <font>
      <vertAlign val="superscript"/>
      <sz val="11"/>
      <color theme="1"/>
      <name val="Calibri"/>
      <family val="2"/>
      <scheme val="minor"/>
    </font>
    <font>
      <sz val="11"/>
      <name val="Calibri"/>
      <family val="2"/>
      <scheme val="minor"/>
    </font>
    <font>
      <sz val="11"/>
      <color rgb="FFFF0000"/>
      <name val="Calibri"/>
      <family val="2"/>
      <scheme val="minor"/>
    </font>
    <font>
      <sz val="11"/>
      <color theme="1"/>
      <name val="Calibri"/>
      <family val="2"/>
    </font>
    <font>
      <b/>
      <sz val="11"/>
      <color theme="9"/>
      <name val="Calibri"/>
      <family val="2"/>
      <scheme val="minor"/>
    </font>
    <font>
      <sz val="5.85"/>
      <color theme="1"/>
      <name val="Calibri"/>
      <family val="2"/>
    </font>
    <font>
      <sz val="11"/>
      <color theme="2" tint="-0.249977111117893"/>
      <name val="Calibri"/>
      <family val="2"/>
      <scheme val="minor"/>
    </font>
    <font>
      <b/>
      <sz val="18"/>
      <color theme="1"/>
      <name val="Calibri"/>
      <family val="2"/>
      <scheme val="minor"/>
    </font>
    <font>
      <b/>
      <sz val="14"/>
      <color theme="1"/>
      <name val="Calibri"/>
      <family val="2"/>
      <scheme val="minor"/>
    </font>
    <font>
      <sz val="11"/>
      <color theme="9"/>
      <name val="Calibri"/>
      <family val="2"/>
      <scheme val="minor"/>
    </font>
    <font>
      <b/>
      <sz val="8"/>
      <color rgb="FF0B428E"/>
      <name val="Arial"/>
      <family val="2"/>
    </font>
    <font>
      <b/>
      <sz val="11"/>
      <color rgb="FF000000"/>
      <name val="Calibri"/>
      <family val="2"/>
    </font>
    <font>
      <sz val="10"/>
      <color theme="1"/>
      <name val="Times New Roman"/>
      <family val="1"/>
    </font>
    <font>
      <sz val="8"/>
      <color rgb="FF25396E"/>
      <name val="Arial"/>
      <family val="2"/>
    </font>
    <font>
      <sz val="8"/>
      <color rgb="FF000000"/>
      <name val="Arial"/>
      <family val="2"/>
    </font>
    <font>
      <sz val="11"/>
      <color rgb="FF000000"/>
      <name val="Calibri"/>
      <family val="2"/>
    </font>
    <font>
      <strike/>
      <sz val="11"/>
      <color theme="1"/>
      <name val="Calibri"/>
      <family val="2"/>
      <scheme val="minor"/>
    </font>
    <font>
      <b/>
      <u/>
      <sz val="11"/>
      <color theme="1"/>
      <name val="Calibri"/>
      <family val="2"/>
      <scheme val="minor"/>
    </font>
    <font>
      <b/>
      <sz val="11"/>
      <name val="Calibri"/>
      <family val="2"/>
      <scheme val="minor"/>
    </font>
    <font>
      <sz val="11"/>
      <color theme="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DFDFDF"/>
      </patternFill>
    </fill>
    <fill>
      <patternFill patternType="solid">
        <fgColor rgb="FFDDEBF7"/>
        <bgColor indexed="64"/>
      </patternFill>
    </fill>
    <fill>
      <patternFill patternType="solid">
        <fgColor rgb="FFFFFFFF"/>
      </patternFill>
    </fill>
    <fill>
      <patternFill patternType="solid">
        <fgColor rgb="FFFFFFFF"/>
        <bgColor indexed="64"/>
      </patternFill>
    </fill>
    <fill>
      <patternFill patternType="solid">
        <fgColor theme="7"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auto="1"/>
      </bottom>
      <diagonal/>
    </border>
    <border>
      <left style="hair">
        <color indexed="64"/>
      </left>
      <right style="thin">
        <color indexed="64"/>
      </right>
      <top style="hair">
        <color indexed="64"/>
      </top>
      <bottom style="thin">
        <color auto="1"/>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top/>
      <bottom style="thin">
        <color rgb="FFC0C0C0"/>
      </bottom>
      <diagonal/>
    </border>
    <border>
      <left style="thin">
        <color rgb="FFC0C0C0"/>
      </left>
      <right style="thin">
        <color rgb="FFC0C0C0"/>
      </right>
      <top/>
      <bottom style="thin">
        <color rgb="FFC0C0C0"/>
      </bottom>
      <diagonal/>
    </border>
    <border>
      <left/>
      <right/>
      <top/>
      <bottom style="medium">
        <color rgb="FF9BC2E6"/>
      </bottom>
      <diagonal/>
    </border>
    <border>
      <left/>
      <right/>
      <top/>
      <bottom style="medium">
        <color rgb="FF5B9BD5"/>
      </bottom>
      <diagonal/>
    </border>
    <border>
      <left/>
      <right/>
      <top style="medium">
        <color rgb="FF5B9BD5"/>
      </top>
      <bottom style="medium">
        <color rgb="FF5B9BD5"/>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style="thin">
        <color theme="0"/>
      </bottom>
      <diagonal/>
    </border>
    <border>
      <left/>
      <right/>
      <top/>
      <bottom style="thin">
        <color theme="0"/>
      </bottom>
      <diagonal/>
    </border>
    <border>
      <left style="thin">
        <color theme="0"/>
      </left>
      <right/>
      <top style="thin">
        <color indexed="64"/>
      </top>
      <bottom/>
      <diagonal/>
    </border>
    <border>
      <left style="thin">
        <color theme="1"/>
      </left>
      <right style="thin">
        <color theme="1"/>
      </right>
      <top style="thin">
        <color theme="1"/>
      </top>
      <bottom style="thin">
        <color theme="1"/>
      </bottom>
      <diagonal/>
    </border>
    <border>
      <left/>
      <right/>
      <top/>
      <bottom style="thin">
        <color indexed="64"/>
      </bottom>
      <diagonal/>
    </border>
    <border>
      <left/>
      <right style="thin">
        <color theme="0"/>
      </right>
      <top style="thin">
        <color indexed="64"/>
      </top>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304">
    <xf numFmtId="0" fontId="0" fillId="0" borderId="0" xfId="0"/>
    <xf numFmtId="0" fontId="0" fillId="2" borderId="0" xfId="0" applyFill="1" applyAlignment="1">
      <alignment horizontal="center" vertical="center" wrapText="1"/>
    </xf>
    <xf numFmtId="0" fontId="0" fillId="0" borderId="0" xfId="0" applyAlignment="1">
      <alignment horizontal="left" vertical="center"/>
    </xf>
    <xf numFmtId="0" fontId="0" fillId="2" borderId="0" xfId="0" applyFill="1" applyAlignment="1">
      <alignment horizontal="center" vertical="center"/>
    </xf>
    <xf numFmtId="0" fontId="1"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3" fontId="0" fillId="2" borderId="8" xfId="1" applyNumberFormat="1" applyFont="1" applyFill="1" applyBorder="1" applyAlignment="1">
      <alignment horizontal="center" vertical="center"/>
    </xf>
    <xf numFmtId="3" fontId="0" fillId="2" borderId="10" xfId="1" applyNumberFormat="1" applyFont="1" applyFill="1" applyBorder="1" applyAlignment="1">
      <alignment horizontal="center" vertical="center"/>
    </xf>
    <xf numFmtId="3" fontId="0" fillId="2" borderId="10" xfId="1" quotePrefix="1" applyNumberFormat="1" applyFont="1" applyFill="1" applyBorder="1" applyAlignment="1">
      <alignment horizontal="center" vertical="center"/>
    </xf>
    <xf numFmtId="3" fontId="0" fillId="2" borderId="1" xfId="1" applyNumberFormat="1" applyFont="1" applyFill="1" applyBorder="1" applyAlignment="1">
      <alignment horizontal="center" vertical="center"/>
    </xf>
    <xf numFmtId="9" fontId="0" fillId="2" borderId="0" xfId="1" applyFont="1" applyFill="1" applyAlignment="1">
      <alignment horizontal="center" vertical="center"/>
    </xf>
    <xf numFmtId="0" fontId="6" fillId="0" borderId="0" xfId="0" applyFont="1" applyAlignment="1">
      <alignment horizontal="center" vertical="center"/>
    </xf>
    <xf numFmtId="3" fontId="5" fillId="2" borderId="8" xfId="1" applyNumberFormat="1" applyFont="1" applyFill="1" applyBorder="1" applyAlignment="1">
      <alignment horizontal="center" vertical="center"/>
    </xf>
    <xf numFmtId="3" fontId="1" fillId="2" borderId="1" xfId="1" applyNumberFormat="1" applyFont="1" applyFill="1" applyBorder="1" applyAlignment="1">
      <alignment horizontal="center" vertical="center"/>
    </xf>
    <xf numFmtId="9" fontId="1" fillId="2" borderId="0" xfId="1" applyFont="1" applyFill="1" applyAlignment="1">
      <alignment horizontal="center" vertical="center"/>
    </xf>
    <xf numFmtId="3" fontId="1" fillId="2" borderId="0" xfId="0" applyNumberFormat="1" applyFont="1" applyFill="1" applyAlignment="1">
      <alignment horizontal="center" vertical="center"/>
    </xf>
    <xf numFmtId="0" fontId="0" fillId="2" borderId="0" xfId="0" applyFill="1" applyAlignment="1">
      <alignment horizontal="left"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0" fillId="2" borderId="16" xfId="0" applyFill="1" applyBorder="1" applyAlignment="1">
      <alignment horizontal="center" vertical="center"/>
    </xf>
    <xf numFmtId="165" fontId="0" fillId="0" borderId="0" xfId="0" applyNumberFormat="1"/>
    <xf numFmtId="0" fontId="1" fillId="0" borderId="0" xfId="0" applyFont="1"/>
    <xf numFmtId="0" fontId="0" fillId="0" borderId="9" xfId="0" applyBorder="1"/>
    <xf numFmtId="165" fontId="0" fillId="0" borderId="9" xfId="0" applyNumberFormat="1" applyBorder="1"/>
    <xf numFmtId="0" fontId="0" fillId="0" borderId="10" xfId="0" applyBorder="1"/>
    <xf numFmtId="165" fontId="6" fillId="0" borderId="10" xfId="0" applyNumberFormat="1" applyFont="1" applyBorder="1"/>
    <xf numFmtId="0" fontId="0" fillId="0" borderId="11" xfId="0" applyBorder="1"/>
    <xf numFmtId="165" fontId="0" fillId="0" borderId="11" xfId="0" applyNumberFormat="1" applyBorder="1"/>
    <xf numFmtId="0" fontId="1" fillId="0" borderId="1" xfId="0" applyFont="1" applyBorder="1"/>
    <xf numFmtId="165" fontId="1" fillId="0" borderId="1" xfId="0" applyNumberFormat="1" applyFont="1" applyBorder="1"/>
    <xf numFmtId="9" fontId="0" fillId="0" borderId="0" xfId="1" applyFont="1"/>
    <xf numFmtId="9" fontId="10" fillId="0" borderId="0" xfId="1" applyFont="1"/>
    <xf numFmtId="0" fontId="1" fillId="0" borderId="0" xfId="0" applyFont="1" applyFill="1" applyBorder="1" applyAlignment="1">
      <alignment horizontal="center"/>
    </xf>
    <xf numFmtId="9" fontId="0" fillId="0" borderId="0" xfId="0" applyNumberFormat="1"/>
    <xf numFmtId="0" fontId="1" fillId="2" borderId="0" xfId="0" applyFont="1" applyFill="1" applyAlignment="1">
      <alignment vertical="center"/>
    </xf>
    <xf numFmtId="0" fontId="0" fillId="2" borderId="0" xfId="0" applyFill="1"/>
    <xf numFmtId="0" fontId="1" fillId="2" borderId="0" xfId="0" applyFont="1" applyFill="1" applyAlignment="1">
      <alignment horizontal="left" vertical="center"/>
    </xf>
    <xf numFmtId="0" fontId="0" fillId="2" borderId="7" xfId="0" applyFill="1" applyBorder="1" applyAlignment="1">
      <alignment horizontal="center" vertical="center" wrapText="1"/>
    </xf>
    <xf numFmtId="2" fontId="5" fillId="2" borderId="1" xfId="0" applyNumberFormat="1" applyFont="1" applyFill="1" applyBorder="1" applyAlignment="1">
      <alignment horizontal="center" vertical="top" wrapText="1"/>
    </xf>
    <xf numFmtId="3" fontId="0" fillId="4" borderId="0" xfId="0" applyNumberFormat="1" applyFill="1" applyAlignment="1">
      <alignment horizontal="center" vertical="center"/>
    </xf>
    <xf numFmtId="3" fontId="0" fillId="3" borderId="0" xfId="0" applyNumberFormat="1" applyFill="1" applyAlignment="1">
      <alignment horizontal="center" vertical="center"/>
    </xf>
    <xf numFmtId="0" fontId="1" fillId="8" borderId="0" xfId="0" applyFont="1" applyFill="1" applyAlignment="1">
      <alignment horizontal="center" vertical="center"/>
    </xf>
    <xf numFmtId="166" fontId="1" fillId="0" borderId="0" xfId="2" applyNumberFormat="1" applyFont="1" applyAlignment="1">
      <alignment horizontal="center" vertical="center"/>
    </xf>
    <xf numFmtId="0" fontId="1" fillId="0" borderId="0" xfId="0" applyFont="1" applyAlignment="1">
      <alignment horizontal="left" vertical="center" indent="1"/>
    </xf>
    <xf numFmtId="9" fontId="0" fillId="0" borderId="0" xfId="1" applyFont="1" applyAlignment="1">
      <alignment horizontal="center" vertical="center"/>
    </xf>
    <xf numFmtId="0" fontId="0" fillId="9" borderId="0" xfId="0" applyFill="1" applyAlignment="1">
      <alignment horizontal="left" vertical="center" indent="2"/>
    </xf>
    <xf numFmtId="166" fontId="0" fillId="9" borderId="0" xfId="2" applyNumberFormat="1" applyFont="1" applyFill="1" applyAlignment="1">
      <alignment horizontal="center" vertical="center"/>
    </xf>
    <xf numFmtId="0" fontId="0" fillId="0" borderId="0" xfId="0" applyAlignment="1">
      <alignment horizontal="left"/>
    </xf>
    <xf numFmtId="0" fontId="0" fillId="0" borderId="0" xfId="0" applyAlignment="1">
      <alignment horizontal="left" vertical="center" indent="3"/>
    </xf>
    <xf numFmtId="166" fontId="0" fillId="0" borderId="0" xfId="2" applyNumberFormat="1" applyFont="1" applyAlignment="1">
      <alignment horizontal="center" vertical="center"/>
    </xf>
    <xf numFmtId="166" fontId="0" fillId="0" borderId="0" xfId="0" applyNumberFormat="1" applyAlignment="1">
      <alignment horizontal="center" vertical="center"/>
    </xf>
    <xf numFmtId="43" fontId="0" fillId="0" borderId="0" xfId="2" applyFont="1" applyFill="1"/>
    <xf numFmtId="166" fontId="0" fillId="9" borderId="0" xfId="0" applyNumberFormat="1" applyFill="1" applyAlignment="1">
      <alignment horizontal="center" vertical="center"/>
    </xf>
    <xf numFmtId="0" fontId="0" fillId="0" borderId="0" xfId="0" applyAlignment="1">
      <alignment horizontal="left" vertical="center" indent="6"/>
    </xf>
    <xf numFmtId="43" fontId="0" fillId="0" borderId="0" xfId="2" applyFont="1" applyFill="1" applyAlignment="1">
      <alignment horizontal="left"/>
    </xf>
    <xf numFmtId="166" fontId="0" fillId="0" borderId="0" xfId="2" applyNumberFormat="1" applyFont="1" applyFill="1" applyAlignment="1">
      <alignment horizontal="center" vertical="center"/>
    </xf>
    <xf numFmtId="166" fontId="1" fillId="0" borderId="0" xfId="2" applyNumberFormat="1" applyFont="1" applyFill="1" applyAlignment="1">
      <alignment horizontal="center" vertical="center"/>
    </xf>
    <xf numFmtId="166" fontId="0" fillId="0" borderId="0" xfId="0" applyNumberFormat="1" applyAlignment="1">
      <alignment horizontal="left"/>
    </xf>
    <xf numFmtId="0" fontId="6" fillId="0" borderId="0" xfId="0" applyFont="1"/>
    <xf numFmtId="0" fontId="0" fillId="3" borderId="0" xfId="0" applyFill="1"/>
    <xf numFmtId="0" fontId="1" fillId="3" borderId="7" xfId="0" applyFont="1" applyFill="1" applyBorder="1" applyAlignment="1">
      <alignment horizontal="center" vertical="center"/>
    </xf>
    <xf numFmtId="0" fontId="0" fillId="3" borderId="9" xfId="0" applyFill="1" applyBorder="1" applyAlignment="1">
      <alignment horizontal="center" vertical="center"/>
    </xf>
    <xf numFmtId="3" fontId="1" fillId="3" borderId="1" xfId="0" applyNumberFormat="1" applyFont="1" applyFill="1" applyBorder="1" applyAlignment="1">
      <alignment horizontal="center" vertical="center"/>
    </xf>
    <xf numFmtId="3" fontId="0" fillId="3" borderId="1" xfId="0" applyNumberFormat="1" applyFill="1" applyBorder="1" applyAlignment="1">
      <alignment horizontal="center" vertical="center"/>
    </xf>
    <xf numFmtId="9" fontId="0" fillId="3" borderId="8" xfId="1" applyFont="1" applyFill="1" applyBorder="1" applyAlignment="1">
      <alignment horizontal="center" vertical="center"/>
    </xf>
    <xf numFmtId="9" fontId="0" fillId="3" borderId="0" xfId="1" applyFont="1" applyFill="1" applyAlignment="1">
      <alignment horizontal="center" vertical="center"/>
    </xf>
    <xf numFmtId="9" fontId="0" fillId="3" borderId="9" xfId="1" applyFont="1" applyFill="1" applyBorder="1" applyAlignment="1">
      <alignment horizontal="center" vertical="center"/>
    </xf>
    <xf numFmtId="9" fontId="0" fillId="3" borderId="10" xfId="1" applyFont="1" applyFill="1" applyBorder="1" applyAlignment="1">
      <alignment horizontal="center" vertical="center"/>
    </xf>
    <xf numFmtId="9" fontId="3" fillId="3" borderId="1" xfId="1" applyFont="1" applyFill="1" applyBorder="1" applyAlignment="1">
      <alignment horizontal="center" vertical="center"/>
    </xf>
    <xf numFmtId="9" fontId="0" fillId="3" borderId="1" xfId="1" applyFont="1" applyFill="1" applyBorder="1" applyAlignment="1">
      <alignment horizontal="center" vertical="center"/>
    </xf>
    <xf numFmtId="0" fontId="0" fillId="5" borderId="0" xfId="0" applyFill="1"/>
    <xf numFmtId="0" fontId="1" fillId="5" borderId="7" xfId="0" applyFont="1" applyFill="1" applyBorder="1" applyAlignment="1">
      <alignment horizontal="center" vertical="center"/>
    </xf>
    <xf numFmtId="3" fontId="0" fillId="5" borderId="8" xfId="0" applyNumberFormat="1" applyFill="1" applyBorder="1" applyAlignment="1">
      <alignment horizontal="center" vertical="center"/>
    </xf>
    <xf numFmtId="3" fontId="0" fillId="5" borderId="10" xfId="0" applyNumberFormat="1" applyFill="1" applyBorder="1" applyAlignment="1">
      <alignment horizontal="center" vertical="center"/>
    </xf>
    <xf numFmtId="3" fontId="1" fillId="5" borderId="1" xfId="0" applyNumberFormat="1" applyFont="1" applyFill="1" applyBorder="1" applyAlignment="1">
      <alignment horizontal="center" vertical="center"/>
    </xf>
    <xf numFmtId="9" fontId="0" fillId="5" borderId="0" xfId="1" applyFont="1" applyFill="1"/>
    <xf numFmtId="0" fontId="0" fillId="4" borderId="0" xfId="0" applyFill="1"/>
    <xf numFmtId="0" fontId="1" fillId="4" borderId="7" xfId="0" applyFont="1" applyFill="1" applyBorder="1" applyAlignment="1">
      <alignment horizontal="center" vertical="center"/>
    </xf>
    <xf numFmtId="0" fontId="0" fillId="4" borderId="9" xfId="0" applyFill="1" applyBorder="1" applyAlignment="1">
      <alignment horizontal="center" vertical="center"/>
    </xf>
    <xf numFmtId="3" fontId="1" fillId="4" borderId="1" xfId="0" applyNumberFormat="1" applyFont="1" applyFill="1" applyBorder="1" applyAlignment="1">
      <alignment horizontal="center" vertical="center"/>
    </xf>
    <xf numFmtId="3" fontId="0" fillId="4" borderId="1" xfId="0" applyNumberFormat="1" applyFill="1" applyBorder="1" applyAlignment="1">
      <alignment horizontal="center" vertical="center"/>
    </xf>
    <xf numFmtId="3" fontId="1" fillId="4" borderId="0" xfId="0" applyNumberFormat="1" applyFont="1" applyFill="1" applyAlignment="1">
      <alignment horizontal="center" vertical="center"/>
    </xf>
    <xf numFmtId="3" fontId="3" fillId="4" borderId="0" xfId="1" applyNumberFormat="1" applyFont="1" applyFill="1" applyBorder="1" applyAlignment="1">
      <alignment horizontal="center" vertical="center"/>
    </xf>
    <xf numFmtId="3" fontId="0" fillId="4" borderId="0" xfId="1" applyNumberFormat="1" applyFont="1" applyFill="1" applyBorder="1" applyAlignment="1">
      <alignment horizontal="center" vertical="center"/>
    </xf>
    <xf numFmtId="0" fontId="6" fillId="4" borderId="0" xfId="0" applyFont="1" applyFill="1"/>
    <xf numFmtId="1" fontId="6" fillId="4" borderId="0" xfId="0" applyNumberFormat="1" applyFont="1" applyFill="1"/>
    <xf numFmtId="164" fontId="0" fillId="0" borderId="0" xfId="0" applyNumberFormat="1"/>
    <xf numFmtId="0" fontId="0" fillId="4" borderId="8" xfId="0" applyFill="1" applyBorder="1" applyAlignment="1">
      <alignment horizontal="center" vertical="center"/>
    </xf>
    <xf numFmtId="0" fontId="0" fillId="4" borderId="10" xfId="0" applyFill="1" applyBorder="1" applyAlignment="1">
      <alignment horizontal="center" vertical="center"/>
    </xf>
    <xf numFmtId="3" fontId="0" fillId="4" borderId="8" xfId="0" applyNumberFormat="1" applyFill="1" applyBorder="1" applyAlignment="1">
      <alignment horizontal="center" vertical="center"/>
    </xf>
    <xf numFmtId="3" fontId="0" fillId="4" borderId="9" xfId="0" applyNumberFormat="1" applyFill="1" applyBorder="1" applyAlignment="1">
      <alignment horizontal="center" vertical="center"/>
    </xf>
    <xf numFmtId="3" fontId="0" fillId="4" borderId="10" xfId="0" applyNumberFormat="1" applyFill="1" applyBorder="1" applyAlignment="1">
      <alignment horizontal="center" vertical="center"/>
    </xf>
    <xf numFmtId="3" fontId="0" fillId="5" borderId="1" xfId="0" applyNumberFormat="1" applyFill="1" applyBorder="1" applyAlignment="1">
      <alignment horizontal="center" vertical="center"/>
    </xf>
    <xf numFmtId="0" fontId="0" fillId="5" borderId="8" xfId="0" applyFill="1" applyBorder="1" applyAlignment="1">
      <alignment horizontal="center" vertical="center"/>
    </xf>
    <xf numFmtId="0" fontId="0" fillId="5" borderId="10"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3" fontId="0" fillId="3" borderId="8" xfId="0" applyNumberFormat="1" applyFill="1" applyBorder="1" applyAlignment="1">
      <alignment horizontal="center" vertical="center"/>
    </xf>
    <xf numFmtId="3" fontId="0" fillId="3" borderId="9" xfId="0" applyNumberFormat="1" applyFill="1" applyBorder="1" applyAlignment="1">
      <alignment horizontal="center" vertical="center"/>
    </xf>
    <xf numFmtId="3" fontId="0" fillId="3" borderId="10" xfId="0" applyNumberFormat="1" applyFill="1" applyBorder="1" applyAlignment="1">
      <alignment horizontal="center" vertical="center"/>
    </xf>
    <xf numFmtId="3" fontId="6" fillId="3" borderId="9" xfId="0" applyNumberFormat="1" applyFont="1" applyFill="1" applyBorder="1" applyAlignment="1">
      <alignment horizontal="center" vertical="center"/>
    </xf>
    <xf numFmtId="1" fontId="0" fillId="0" borderId="0" xfId="0" applyNumberFormat="1"/>
    <xf numFmtId="166" fontId="6" fillId="0" borderId="0" xfId="2" applyNumberFormat="1" applyFont="1" applyAlignment="1">
      <alignment horizontal="center" vertical="center"/>
    </xf>
    <xf numFmtId="166" fontId="6" fillId="0" borderId="0" xfId="0" applyNumberFormat="1" applyFont="1" applyAlignment="1">
      <alignment horizontal="center" vertical="center"/>
    </xf>
    <xf numFmtId="3" fontId="6" fillId="4" borderId="8" xfId="0" applyNumberFormat="1" applyFont="1" applyFill="1" applyBorder="1" applyAlignment="1">
      <alignment horizontal="center" vertical="center"/>
    </xf>
    <xf numFmtId="3" fontId="6" fillId="4" borderId="9" xfId="0" applyNumberFormat="1" applyFont="1" applyFill="1" applyBorder="1" applyAlignment="1">
      <alignment horizontal="center" vertical="center"/>
    </xf>
    <xf numFmtId="3" fontId="6" fillId="4" borderId="10" xfId="0" applyNumberFormat="1" applyFont="1" applyFill="1" applyBorder="1" applyAlignment="1">
      <alignment horizontal="center" vertical="center"/>
    </xf>
    <xf numFmtId="0" fontId="0" fillId="0" borderId="0" xfId="0" applyFont="1" applyAlignment="1">
      <alignment horizontal="left" vertical="center"/>
    </xf>
    <xf numFmtId="0" fontId="0" fillId="2" borderId="0" xfId="0" applyFont="1" applyFill="1" applyAlignment="1">
      <alignment horizontal="left" vertical="center"/>
    </xf>
    <xf numFmtId="0" fontId="0" fillId="2" borderId="7" xfId="0" applyFont="1" applyFill="1" applyBorder="1" applyAlignment="1">
      <alignment horizontal="center" vertical="center"/>
    </xf>
    <xf numFmtId="3" fontId="0" fillId="2" borderId="1" xfId="0" applyNumberFormat="1" applyFont="1" applyFill="1" applyBorder="1" applyAlignment="1">
      <alignment horizontal="center" vertical="center"/>
    </xf>
    <xf numFmtId="0" fontId="0" fillId="0" borderId="0" xfId="0" applyFont="1"/>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xf numFmtId="3" fontId="0" fillId="0" borderId="0" xfId="0" applyNumberFormat="1"/>
    <xf numFmtId="0" fontId="1" fillId="2" borderId="0" xfId="0" applyFont="1" applyFill="1" applyAlignment="1">
      <alignment horizontal="left" vertical="center"/>
    </xf>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13" fillId="2" borderId="25"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0" fillId="2" borderId="26" xfId="0" quotePrefix="1" applyFill="1" applyBorder="1" applyAlignment="1">
      <alignment horizontal="center" vertical="center" wrapText="1"/>
    </xf>
    <xf numFmtId="0" fontId="13" fillId="2" borderId="29" xfId="0" applyFont="1"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quotePrefix="1" applyFill="1" applyBorder="1" applyAlignment="1">
      <alignment horizontal="center" vertical="center" wrapText="1"/>
    </xf>
    <xf numFmtId="0" fontId="5" fillId="2" borderId="32" xfId="0" applyFont="1" applyFill="1" applyBorder="1" applyAlignment="1">
      <alignment horizontal="center" vertical="center" wrapText="1"/>
    </xf>
    <xf numFmtId="0" fontId="0" fillId="2" borderId="32" xfId="0" applyFill="1" applyBorder="1" applyAlignment="1">
      <alignment horizontal="center" vertical="center" wrapText="1"/>
    </xf>
    <xf numFmtId="0" fontId="0" fillId="2" borderId="33" xfId="0" applyFill="1" applyBorder="1" applyAlignment="1">
      <alignment horizontal="center" vertical="center" wrapText="1"/>
    </xf>
    <xf numFmtId="0" fontId="13" fillId="2" borderId="27" xfId="0" applyFont="1" applyFill="1" applyBorder="1" applyAlignment="1">
      <alignment horizontal="center" vertical="center" wrapText="1"/>
    </xf>
    <xf numFmtId="0" fontId="0" fillId="2" borderId="27" xfId="0" applyFill="1" applyBorder="1" applyAlignment="1">
      <alignment horizontal="center" vertical="center" wrapText="1"/>
    </xf>
    <xf numFmtId="0" fontId="0" fillId="2" borderId="28" xfId="0" applyFill="1" applyBorder="1" applyAlignment="1">
      <alignment horizontal="center" vertical="center" wrapText="1"/>
    </xf>
    <xf numFmtId="0" fontId="5" fillId="2" borderId="23" xfId="0" applyFont="1" applyFill="1" applyBorder="1" applyAlignment="1">
      <alignment horizontal="center" vertical="center" wrapText="1"/>
    </xf>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49" fontId="0" fillId="0" borderId="0" xfId="0" applyNumberFormat="1"/>
    <xf numFmtId="0" fontId="15" fillId="11" borderId="0" xfId="0" applyFont="1" applyFill="1" applyAlignment="1">
      <alignment vertical="center"/>
    </xf>
    <xf numFmtId="0" fontId="16" fillId="11" borderId="0" xfId="0" applyFont="1" applyFill="1"/>
    <xf numFmtId="0" fontId="14" fillId="10" borderId="38" xfId="0" applyFont="1" applyFill="1" applyBorder="1" applyAlignment="1">
      <alignment horizontal="left" vertical="center" wrapText="1"/>
    </xf>
    <xf numFmtId="0" fontId="14" fillId="10" borderId="38" xfId="0" applyFont="1" applyFill="1" applyBorder="1" applyAlignment="1">
      <alignment horizontal="center" wrapText="1"/>
    </xf>
    <xf numFmtId="0" fontId="14" fillId="10" borderId="39" xfId="0" applyFont="1" applyFill="1" applyBorder="1" applyAlignment="1">
      <alignment horizontal="center" wrapText="1"/>
    </xf>
    <xf numFmtId="0" fontId="15" fillId="11" borderId="40" xfId="0" applyFont="1" applyFill="1" applyBorder="1" applyAlignment="1">
      <alignment vertical="center"/>
    </xf>
    <xf numFmtId="0" fontId="15" fillId="11" borderId="40" xfId="0" applyFont="1" applyFill="1" applyBorder="1" applyAlignment="1">
      <alignment horizontal="right" vertical="center"/>
    </xf>
    <xf numFmtId="0" fontId="17" fillId="12" borderId="38" xfId="0" applyFont="1" applyFill="1" applyBorder="1" applyAlignment="1">
      <alignment horizontal="left" vertical="center" wrapText="1"/>
    </xf>
    <xf numFmtId="37" fontId="18" fillId="12" borderId="38" xfId="0" applyNumberFormat="1" applyFont="1" applyFill="1" applyBorder="1" applyAlignment="1">
      <alignment horizontal="right" vertical="center" wrapText="1"/>
    </xf>
    <xf numFmtId="37" fontId="18" fillId="12" borderId="39" xfId="0" applyNumberFormat="1" applyFont="1" applyFill="1" applyBorder="1" applyAlignment="1">
      <alignment horizontal="right" vertical="center" wrapText="1"/>
    </xf>
    <xf numFmtId="0" fontId="15" fillId="0" borderId="0" xfId="0" applyFont="1" applyAlignment="1">
      <alignment vertical="center"/>
    </xf>
    <xf numFmtId="0" fontId="19" fillId="13" borderId="0" xfId="0" applyFont="1" applyFill="1" applyAlignment="1">
      <alignment vertical="center"/>
    </xf>
    <xf numFmtId="0" fontId="19" fillId="13" borderId="0" xfId="0" applyFont="1" applyFill="1" applyAlignment="1">
      <alignment horizontal="right" vertical="center"/>
    </xf>
    <xf numFmtId="3" fontId="19" fillId="0" borderId="0" xfId="0" applyNumberFormat="1" applyFont="1" applyAlignment="1">
      <alignment horizontal="right" vertical="center"/>
    </xf>
    <xf numFmtId="37" fontId="0" fillId="0" borderId="0" xfId="0" applyNumberFormat="1"/>
    <xf numFmtId="0" fontId="16" fillId="0" borderId="0" xfId="0" applyFont="1"/>
    <xf numFmtId="3" fontId="19" fillId="13" borderId="0" xfId="0" applyNumberFormat="1" applyFont="1" applyFill="1" applyAlignment="1">
      <alignment horizontal="right" vertical="center"/>
    </xf>
    <xf numFmtId="0" fontId="16" fillId="0" borderId="40" xfId="0" applyFont="1" applyBorder="1"/>
    <xf numFmtId="0" fontId="15" fillId="0" borderId="41" xfId="0" applyFont="1" applyBorder="1" applyAlignment="1">
      <alignment vertical="center"/>
    </xf>
    <xf numFmtId="0" fontId="16" fillId="0" borderId="42" xfId="0" applyFont="1" applyBorder="1"/>
    <xf numFmtId="3" fontId="15" fillId="0" borderId="42" xfId="0" applyNumberFormat="1" applyFont="1" applyBorder="1" applyAlignment="1">
      <alignment horizontal="right" vertical="center"/>
    </xf>
    <xf numFmtId="0" fontId="19" fillId="0" borderId="0" xfId="0" applyFont="1" applyAlignment="1">
      <alignment horizontal="right" vertical="center"/>
    </xf>
    <xf numFmtId="0" fontId="17" fillId="4" borderId="38" xfId="0" applyFont="1" applyFill="1" applyBorder="1" applyAlignment="1">
      <alignment horizontal="left" vertical="center" wrapText="1"/>
    </xf>
    <xf numFmtId="37" fontId="18" fillId="4" borderId="38" xfId="0" applyNumberFormat="1" applyFont="1" applyFill="1" applyBorder="1" applyAlignment="1">
      <alignment horizontal="right" vertical="center" wrapText="1"/>
    </xf>
    <xf numFmtId="37" fontId="18" fillId="4" borderId="39" xfId="0" applyNumberFormat="1" applyFont="1" applyFill="1" applyBorder="1" applyAlignment="1">
      <alignment horizontal="right" vertical="center" wrapText="1"/>
    </xf>
    <xf numFmtId="3" fontId="15" fillId="11" borderId="0" xfId="0" applyNumberFormat="1" applyFont="1" applyFill="1" applyAlignment="1">
      <alignment horizontal="right" vertical="center"/>
    </xf>
    <xf numFmtId="0" fontId="0" fillId="2" borderId="0" xfId="0" applyFill="1" applyAlignment="1">
      <alignment horizontal="center" vertical="center" wrapText="1"/>
    </xf>
    <xf numFmtId="0" fontId="1" fillId="0" borderId="1" xfId="0" applyFont="1" applyBorder="1" applyAlignment="1">
      <alignment horizontal="center" vertical="center"/>
    </xf>
    <xf numFmtId="0" fontId="1" fillId="2" borderId="43" xfId="0" applyFont="1" applyFill="1" applyBorder="1" applyAlignment="1">
      <alignment horizontal="center" vertical="center" wrapText="1"/>
    </xf>
    <xf numFmtId="0" fontId="0" fillId="0" borderId="1" xfId="0" applyBorder="1" applyAlignment="1">
      <alignment horizontal="center" vertical="center"/>
    </xf>
    <xf numFmtId="0" fontId="0" fillId="0" borderId="1" xfId="1" applyNumberFormat="1" applyFont="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1" fillId="0" borderId="3" xfId="0" applyFont="1" applyBorder="1" applyAlignment="1">
      <alignment horizontal="center" vertical="center"/>
    </xf>
    <xf numFmtId="0" fontId="1" fillId="2" borderId="18"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0" fillId="0" borderId="0" xfId="1" applyNumberFormat="1" applyFont="1" applyBorder="1" applyAlignment="1">
      <alignment horizontal="center" vertical="center"/>
    </xf>
    <xf numFmtId="0" fontId="20" fillId="2" borderId="0" xfId="0" applyFont="1" applyFill="1" applyBorder="1" applyAlignment="1">
      <alignment horizontal="center" vertical="center" wrapText="1"/>
    </xf>
    <xf numFmtId="168" fontId="0" fillId="0" borderId="1" xfId="2" applyNumberFormat="1" applyFont="1" applyBorder="1" applyAlignment="1">
      <alignment horizontal="center" vertical="center"/>
    </xf>
    <xf numFmtId="0" fontId="0" fillId="2" borderId="0" xfId="1" applyNumberFormat="1" applyFont="1" applyFill="1" applyBorder="1" applyAlignment="1">
      <alignment horizontal="center" vertical="center"/>
    </xf>
    <xf numFmtId="0" fontId="0" fillId="2" borderId="0" xfId="0" applyFill="1" applyBorder="1" applyAlignment="1">
      <alignment horizontal="center" vertical="center"/>
    </xf>
    <xf numFmtId="0" fontId="20" fillId="2" borderId="0" xfId="0" applyFont="1" applyFill="1" applyBorder="1" applyAlignment="1">
      <alignment horizontal="center" vertical="center"/>
    </xf>
    <xf numFmtId="167" fontId="0" fillId="2" borderId="1" xfId="2"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1" fillId="2" borderId="0" xfId="0" applyFont="1" applyFill="1" applyBorder="1" applyAlignment="1">
      <alignment horizontal="center" vertical="center"/>
    </xf>
    <xf numFmtId="0" fontId="21" fillId="2" borderId="0" xfId="0" applyFont="1" applyFill="1" applyAlignment="1">
      <alignment horizontal="left" vertical="center"/>
    </xf>
    <xf numFmtId="0" fontId="0" fillId="0" borderId="3" xfId="1" applyNumberFormat="1" applyFont="1" applyBorder="1" applyAlignment="1">
      <alignment horizontal="center" vertical="center"/>
    </xf>
    <xf numFmtId="0" fontId="0" fillId="0" borderId="6" xfId="1" applyNumberFormat="1" applyFont="1" applyBorder="1" applyAlignment="1">
      <alignment horizontal="center" vertical="center"/>
    </xf>
    <xf numFmtId="0" fontId="0" fillId="0" borderId="45" xfId="1" applyNumberFormat="1" applyFont="1" applyBorder="1" applyAlignment="1">
      <alignment horizontal="center" vertical="center"/>
    </xf>
    <xf numFmtId="0" fontId="0" fillId="0" borderId="3" xfId="0"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left" vertical="center"/>
    </xf>
    <xf numFmtId="0" fontId="22" fillId="2" borderId="44"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Border="1" applyAlignment="1">
      <alignment horizontal="center" vertical="center"/>
    </xf>
    <xf numFmtId="0" fontId="21" fillId="2" borderId="0" xfId="0" applyFont="1" applyFill="1" applyBorder="1" applyAlignment="1"/>
    <xf numFmtId="0" fontId="1" fillId="2" borderId="0" xfId="0" applyFont="1" applyFill="1" applyBorder="1" applyAlignment="1">
      <alignment horizontal="center" vertical="center" wrapText="1"/>
    </xf>
    <xf numFmtId="0" fontId="0" fillId="0" borderId="3" xfId="0" applyFont="1" applyBorder="1" applyAlignment="1">
      <alignment horizontal="center" vertical="center"/>
    </xf>
    <xf numFmtId="0" fontId="19" fillId="0" borderId="1" xfId="0" applyFont="1" applyBorder="1" applyAlignment="1">
      <alignment horizontal="justify" vertical="center"/>
    </xf>
    <xf numFmtId="0" fontId="1" fillId="2" borderId="0" xfId="0" applyFont="1" applyFill="1" applyAlignment="1">
      <alignment horizontal="left" vertical="center"/>
    </xf>
    <xf numFmtId="0" fontId="21" fillId="2" borderId="0" xfId="0" applyFont="1" applyFill="1" applyAlignment="1">
      <alignment horizontal="left" vertical="center"/>
    </xf>
    <xf numFmtId="0" fontId="1" fillId="2" borderId="1" xfId="0" applyFont="1" applyFill="1" applyBorder="1" applyAlignment="1">
      <alignment horizontal="center" vertical="center" wrapText="1"/>
    </xf>
    <xf numFmtId="0" fontId="1" fillId="14" borderId="1" xfId="0" applyFont="1" applyFill="1" applyBorder="1" applyAlignment="1">
      <alignment horizontal="center" vertical="center"/>
    </xf>
    <xf numFmtId="0" fontId="1" fillId="4" borderId="1" xfId="0" applyFont="1" applyFill="1" applyBorder="1" applyAlignment="1">
      <alignment horizontal="center" vertical="center"/>
    </xf>
    <xf numFmtId="0" fontId="0" fillId="2" borderId="0" xfId="0" applyFill="1" applyAlignment="1">
      <alignment horizontal="left" vertical="center"/>
    </xf>
    <xf numFmtId="0" fontId="0" fillId="2" borderId="1" xfId="0" applyFont="1" applyFill="1" applyBorder="1" applyAlignment="1">
      <alignment horizontal="center" vertical="center"/>
    </xf>
    <xf numFmtId="0" fontId="1" fillId="8" borderId="1" xfId="0" applyFont="1" applyFill="1" applyBorder="1" applyAlignment="1">
      <alignment horizontal="center" vertical="center"/>
    </xf>
    <xf numFmtId="0" fontId="23" fillId="2" borderId="0" xfId="0" applyFont="1" applyFill="1" applyAlignment="1">
      <alignment horizontal="center" vertical="center" wrapText="1"/>
    </xf>
    <xf numFmtId="168" fontId="0" fillId="0" borderId="46" xfId="2" applyNumberFormat="1" applyFont="1" applyBorder="1" applyAlignment="1">
      <alignment horizontal="center" vertical="center"/>
    </xf>
    <xf numFmtId="0" fontId="0" fillId="0" borderId="47" xfId="1" applyNumberFormat="1" applyFont="1" applyBorder="1" applyAlignment="1">
      <alignment horizontal="center" vertical="center"/>
    </xf>
    <xf numFmtId="0" fontId="0" fillId="0" borderId="50" xfId="0" applyBorder="1" applyAlignment="1">
      <alignment horizontal="center" vertical="center" wrapText="1"/>
    </xf>
    <xf numFmtId="0" fontId="0" fillId="0" borderId="51" xfId="1" applyNumberFormat="1" applyFont="1" applyBorder="1" applyAlignment="1">
      <alignment horizontal="center" vertical="center"/>
    </xf>
    <xf numFmtId="0" fontId="1" fillId="0" borderId="52" xfId="0" applyFont="1" applyBorder="1" applyAlignment="1">
      <alignment horizontal="center" vertical="center"/>
    </xf>
    <xf numFmtId="0" fontId="0" fillId="2" borderId="52" xfId="1" applyNumberFormat="1" applyFont="1" applyFill="1" applyBorder="1" applyAlignment="1">
      <alignment horizontal="center" vertical="center"/>
    </xf>
    <xf numFmtId="0" fontId="0" fillId="0" borderId="0" xfId="0" applyBorder="1" applyAlignment="1">
      <alignment horizontal="center" vertical="center" wrapText="1"/>
    </xf>
    <xf numFmtId="0" fontId="0" fillId="2" borderId="0" xfId="0" applyFill="1" applyAlignment="1">
      <alignment vertical="center"/>
    </xf>
    <xf numFmtId="0" fontId="1" fillId="2" borderId="1" xfId="0" applyFont="1" applyFill="1" applyBorder="1" applyAlignment="1">
      <alignment horizontal="center" vertical="center" wrapText="1"/>
    </xf>
    <xf numFmtId="0" fontId="21" fillId="2" borderId="0" xfId="0" applyFont="1" applyFill="1" applyAlignment="1">
      <alignment horizontal="left" vertical="center"/>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lignment horizontal="right"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3" fontId="0" fillId="2" borderId="6" xfId="0" applyNumberFormat="1" applyFill="1" applyBorder="1" applyAlignment="1">
      <alignment horizontal="center" vertical="center"/>
    </xf>
    <xf numFmtId="3" fontId="0" fillId="2" borderId="7" xfId="0" applyNumberFormat="1" applyFill="1" applyBorder="1" applyAlignment="1">
      <alignment horizontal="center" vertical="center"/>
    </xf>
    <xf numFmtId="0" fontId="0" fillId="2" borderId="15" xfId="0" applyFill="1" applyBorder="1" applyAlignment="1">
      <alignment horizontal="center" vertical="center"/>
    </xf>
    <xf numFmtId="0" fontId="0" fillId="2" borderId="14" xfId="0" applyFill="1" applyBorder="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1" fillId="2" borderId="0" xfId="0" applyFont="1" applyFill="1" applyAlignment="1">
      <alignment horizontal="lef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6" xfId="0" applyFill="1" applyBorder="1" applyAlignment="1">
      <alignment horizontal="center" vertical="center"/>
    </xf>
    <xf numFmtId="0" fontId="1" fillId="5" borderId="0" xfId="0" applyFont="1" applyFill="1" applyAlignment="1">
      <alignment horizontal="center"/>
    </xf>
    <xf numFmtId="0" fontId="11" fillId="6" borderId="0" xfId="0" applyFont="1" applyFill="1" applyAlignment="1">
      <alignment horizontal="center"/>
    </xf>
    <xf numFmtId="0" fontId="1" fillId="7" borderId="0" xfId="0" applyFont="1" applyFill="1" applyAlignment="1">
      <alignment horizontal="center" vertical="center"/>
    </xf>
    <xf numFmtId="0" fontId="1" fillId="4" borderId="0" xfId="0" applyFont="1" applyFill="1" applyAlignment="1">
      <alignment horizontal="center" vertical="center" wrapText="1"/>
    </xf>
    <xf numFmtId="0" fontId="1" fillId="4" borderId="0" xfId="0" applyFont="1" applyFill="1" applyAlignment="1">
      <alignment horizontal="center" vertical="center"/>
    </xf>
    <xf numFmtId="0" fontId="12" fillId="9" borderId="0" xfId="0" applyFont="1" applyFill="1" applyAlignment="1">
      <alignment horizont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3" fontId="0" fillId="3" borderId="6" xfId="0" applyNumberFormat="1" applyFill="1" applyBorder="1" applyAlignment="1">
      <alignment horizontal="center" vertical="center" wrapText="1"/>
    </xf>
    <xf numFmtId="3" fontId="0" fillId="3" borderId="17" xfId="0" applyNumberFormat="1" applyFill="1" applyBorder="1" applyAlignment="1">
      <alignment horizontal="center" vertical="center" wrapText="1"/>
    </xf>
    <xf numFmtId="3" fontId="0" fillId="3" borderId="7" xfId="0" applyNumberFormat="1" applyFill="1" applyBorder="1" applyAlignment="1">
      <alignment horizontal="center" vertical="center" wrapText="1"/>
    </xf>
    <xf numFmtId="3" fontId="0" fillId="3" borderId="6" xfId="0" applyNumberFormat="1" applyFill="1" applyBorder="1" applyAlignment="1">
      <alignment horizontal="center" vertical="center"/>
    </xf>
    <xf numFmtId="3" fontId="0" fillId="3" borderId="17" xfId="0" applyNumberFormat="1" applyFill="1" applyBorder="1" applyAlignment="1">
      <alignment horizontal="center" vertical="center"/>
    </xf>
    <xf numFmtId="3" fontId="0" fillId="3" borderId="7" xfId="0" applyNumberFormat="1"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3" xfId="0" applyFill="1" applyBorder="1" applyAlignment="1">
      <alignment horizontal="center" vertical="center"/>
    </xf>
    <xf numFmtId="0" fontId="0" fillId="5" borderId="5" xfId="0" applyFill="1" applyBorder="1" applyAlignment="1">
      <alignment horizontal="center" vertical="center"/>
    </xf>
    <xf numFmtId="3" fontId="0" fillId="4" borderId="6" xfId="0" applyNumberFormat="1" applyFill="1" applyBorder="1" applyAlignment="1">
      <alignment horizontal="center" vertical="center" wrapText="1"/>
    </xf>
    <xf numFmtId="3" fontId="0" fillId="4" borderId="17" xfId="0" applyNumberFormat="1" applyFill="1" applyBorder="1" applyAlignment="1">
      <alignment horizontal="center" vertical="center" wrapText="1"/>
    </xf>
    <xf numFmtId="3" fontId="0" fillId="4" borderId="7" xfId="0" applyNumberFormat="1" applyFill="1" applyBorder="1" applyAlignment="1">
      <alignment horizontal="center" vertical="center" wrapText="1"/>
    </xf>
    <xf numFmtId="3" fontId="0" fillId="5" borderId="6" xfId="0" applyNumberFormat="1" applyFill="1" applyBorder="1" applyAlignment="1">
      <alignment horizontal="center" vertical="center"/>
    </xf>
    <xf numFmtId="3" fontId="0" fillId="5" borderId="7" xfId="0" applyNumberFormat="1"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0" fillId="0" borderId="1" xfId="0" applyBorder="1" applyAlignment="1">
      <alignment horizontal="center" vertical="center" wrapText="1"/>
    </xf>
    <xf numFmtId="0" fontId="21" fillId="2" borderId="0" xfId="0" applyFont="1" applyFill="1" applyAlignment="1">
      <alignment horizontal="left" vertical="center"/>
    </xf>
    <xf numFmtId="0" fontId="0" fillId="2" borderId="2" xfId="1" applyNumberFormat="1" applyFont="1" applyFill="1" applyBorder="1" applyAlignment="1">
      <alignment horizontal="left" vertical="center"/>
    </xf>
    <xf numFmtId="0" fontId="0" fillId="0" borderId="50" xfId="0" applyBorder="1" applyAlignment="1">
      <alignment horizontal="left" vertical="center" wrapText="1"/>
    </xf>
    <xf numFmtId="0" fontId="0" fillId="0" borderId="2" xfId="0" applyBorder="1" applyAlignment="1">
      <alignment horizontal="left" vertical="center" wrapText="1"/>
    </xf>
    <xf numFmtId="0" fontId="0" fillId="0" borderId="53" xfId="0" applyBorder="1" applyAlignment="1">
      <alignment horizontal="left" vertical="center" wrapText="1"/>
    </xf>
    <xf numFmtId="0" fontId="1" fillId="7" borderId="1" xfId="0" applyFont="1" applyFill="1" applyBorder="1" applyAlignment="1">
      <alignment horizontal="center" vertical="top"/>
    </xf>
    <xf numFmtId="0" fontId="0" fillId="0" borderId="0" xfId="0" applyBorder="1" applyAlignment="1">
      <alignment horizontal="left" vertical="center" wrapText="1"/>
    </xf>
    <xf numFmtId="0" fontId="0" fillId="0" borderId="49" xfId="0" applyBorder="1" applyAlignment="1">
      <alignment horizontal="left" vertical="center" wrapText="1"/>
    </xf>
    <xf numFmtId="0" fontId="0" fillId="0" borderId="48" xfId="0" applyBorder="1" applyAlignment="1">
      <alignment horizontal="left" vertical="center" wrapText="1"/>
    </xf>
    <xf numFmtId="0" fontId="1" fillId="0" borderId="51" xfId="0" applyFont="1" applyBorder="1" applyAlignment="1">
      <alignment horizontal="left" vertical="center"/>
    </xf>
    <xf numFmtId="0" fontId="1" fillId="7" borderId="3" xfId="0" applyFont="1" applyFill="1" applyBorder="1" applyAlignment="1">
      <alignment horizontal="center" vertical="top"/>
    </xf>
    <xf numFmtId="0" fontId="1" fillId="7" borderId="4" xfId="0" applyFont="1" applyFill="1" applyBorder="1" applyAlignment="1">
      <alignment horizontal="center" vertical="top"/>
    </xf>
    <xf numFmtId="0" fontId="1" fillId="7" borderId="5" xfId="0" applyFont="1" applyFill="1" applyBorder="1" applyAlignment="1">
      <alignment horizontal="center" vertical="top"/>
    </xf>
    <xf numFmtId="0" fontId="1" fillId="2" borderId="1" xfId="0" applyFont="1" applyFill="1" applyBorder="1" applyAlignment="1">
      <alignment horizontal="center" vertical="center" wrapText="1"/>
    </xf>
    <xf numFmtId="0" fontId="0" fillId="2" borderId="0" xfId="0" applyFill="1" applyAlignment="1">
      <alignment horizontal="left" vertical="center" wrapText="1"/>
    </xf>
    <xf numFmtId="0" fontId="1" fillId="14" borderId="3" xfId="0" applyFont="1" applyFill="1" applyBorder="1" applyAlignment="1">
      <alignment horizontal="center" vertical="center"/>
    </xf>
    <xf numFmtId="0" fontId="1" fillId="14" borderId="4" xfId="0" applyFont="1" applyFill="1" applyBorder="1" applyAlignment="1">
      <alignment horizontal="center" vertical="center"/>
    </xf>
    <xf numFmtId="0" fontId="1" fillId="14" borderId="5" xfId="0" applyFont="1" applyFill="1" applyBorder="1" applyAlignment="1">
      <alignment horizontal="center" vertical="center"/>
    </xf>
    <xf numFmtId="0" fontId="1" fillId="4" borderId="1" xfId="0" applyFont="1" applyFill="1" applyBorder="1" applyAlignment="1">
      <alignment horizontal="center" vertical="center"/>
    </xf>
    <xf numFmtId="0" fontId="0" fillId="2" borderId="26"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5" xfId="0" applyFill="1" applyBorder="1" applyAlignment="1">
      <alignment horizontal="center" vertical="center" wrapText="1"/>
    </xf>
    <xf numFmtId="0" fontId="14" fillId="10" borderId="36" xfId="0" applyFont="1" applyFill="1" applyBorder="1" applyAlignment="1">
      <alignment horizontal="center" wrapText="1"/>
    </xf>
    <xf numFmtId="0" fontId="14" fillId="10" borderId="37" xfId="0" applyFont="1" applyFill="1" applyBorder="1" applyAlignment="1">
      <alignment horizontal="center" wrapText="1"/>
    </xf>
    <xf numFmtId="0" fontId="14" fillId="10" borderId="38" xfId="0" applyFont="1" applyFill="1" applyBorder="1" applyAlignment="1">
      <alignment horizontal="left" vertical="center" wrapText="1"/>
    </xf>
    <xf numFmtId="0" fontId="0" fillId="2" borderId="0" xfId="0" applyFont="1" applyFill="1" applyAlignment="1">
      <alignment horizontal="left" vertical="center"/>
    </xf>
    <xf numFmtId="0" fontId="0" fillId="2" borderId="1"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7" xfId="0" applyFont="1" applyBorder="1" applyAlignment="1">
      <alignment horizontal="center" vertical="center"/>
    </xf>
  </cellXfs>
  <cellStyles count="3">
    <cellStyle name="Millares" xfId="2" builtinId="3"/>
    <cellStyle name="Normal" xfId="0" builtinId="0"/>
    <cellStyle name="Porcentaje" xfId="1" builtinId="5"/>
  </cellStyles>
  <dxfs count="6">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emf"/><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346363</xdr:colOff>
      <xdr:row>17</xdr:row>
      <xdr:rowOff>41563</xdr:rowOff>
    </xdr:from>
    <xdr:to>
      <xdr:col>12</xdr:col>
      <xdr:colOff>304800</xdr:colOff>
      <xdr:row>18</xdr:row>
      <xdr:rowOff>163483</xdr:rowOff>
    </xdr:to>
    <xdr:sp macro="" textlink="">
      <xdr:nvSpPr>
        <xdr:cNvPr id="2" name="AutoShape 1">
          <a:extLst>
            <a:ext uri="{FF2B5EF4-FFF2-40B4-BE49-F238E27FC236}">
              <a16:creationId xmlns:a16="http://schemas.microsoft.com/office/drawing/2014/main" id="{16522491-4EFB-4CE4-8876-0AFC6BE055DF}"/>
            </a:ext>
          </a:extLst>
        </xdr:cNvPr>
        <xdr:cNvSpPr>
          <a:spLocks noChangeAspect="1" noChangeArrowheads="1"/>
        </xdr:cNvSpPr>
      </xdr:nvSpPr>
      <xdr:spPr bwMode="auto">
        <a:xfrm>
          <a:off x="9103013" y="3286413"/>
          <a:ext cx="304800" cy="30607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139700</xdr:colOff>
      <xdr:row>1</xdr:row>
      <xdr:rowOff>95249</xdr:rowOff>
    </xdr:from>
    <xdr:ext cx="2038350" cy="1293747"/>
    <xdr:pic>
      <xdr:nvPicPr>
        <xdr:cNvPr id="2" name="Imagen 1">
          <a:extLst>
            <a:ext uri="{FF2B5EF4-FFF2-40B4-BE49-F238E27FC236}">
              <a16:creationId xmlns:a16="http://schemas.microsoft.com/office/drawing/2014/main" id="{6D750BD2-5FD8-4C5D-918E-E142BE082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5700" y="279399"/>
          <a:ext cx="2038350" cy="129374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1311880</xdr:colOff>
      <xdr:row>2</xdr:row>
      <xdr:rowOff>156634</xdr:rowOff>
    </xdr:from>
    <xdr:to>
      <xdr:col>4</xdr:col>
      <xdr:colOff>1331612</xdr:colOff>
      <xdr:row>5</xdr:row>
      <xdr:rowOff>149982</xdr:rowOff>
    </xdr:to>
    <xdr:pic>
      <xdr:nvPicPr>
        <xdr:cNvPr id="2" name="Imagen 1">
          <a:extLst>
            <a:ext uri="{FF2B5EF4-FFF2-40B4-BE49-F238E27FC236}">
              <a16:creationId xmlns:a16="http://schemas.microsoft.com/office/drawing/2014/main" id="{CB19E803-1BDB-4648-A6AF-631A8409C0F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2480" y="524934"/>
          <a:ext cx="3118532" cy="545798"/>
        </a:xfrm>
        <a:prstGeom prst="rect">
          <a:avLst/>
        </a:prstGeom>
        <a:noFill/>
      </xdr:spPr>
    </xdr:pic>
    <xdr:clientData/>
  </xdr:twoCellAnchor>
  <xdr:twoCellAnchor editAs="oneCell">
    <xdr:from>
      <xdr:col>5</xdr:col>
      <xdr:colOff>715434</xdr:colOff>
      <xdr:row>3</xdr:row>
      <xdr:rowOff>47097</xdr:rowOff>
    </xdr:from>
    <xdr:to>
      <xdr:col>6</xdr:col>
      <xdr:colOff>1318472</xdr:colOff>
      <xdr:row>6</xdr:row>
      <xdr:rowOff>23195</xdr:rowOff>
    </xdr:to>
    <xdr:pic>
      <xdr:nvPicPr>
        <xdr:cNvPr id="3" name="Imagen 2">
          <a:extLst>
            <a:ext uri="{FF2B5EF4-FFF2-40B4-BE49-F238E27FC236}">
              <a16:creationId xmlns:a16="http://schemas.microsoft.com/office/drawing/2014/main" id="{46B61881-58A9-4446-B10D-C1B3C6E4AAD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09984" y="599547"/>
          <a:ext cx="1873038" cy="528548"/>
        </a:xfrm>
        <a:prstGeom prst="rect">
          <a:avLst/>
        </a:prstGeom>
        <a:noFill/>
        <a:ln>
          <a:noFill/>
        </a:ln>
      </xdr:spPr>
    </xdr:pic>
    <xdr:clientData/>
  </xdr:twoCellAnchor>
  <xdr:twoCellAnchor editAs="oneCell">
    <xdr:from>
      <xdr:col>1</xdr:col>
      <xdr:colOff>88900</xdr:colOff>
      <xdr:row>2</xdr:row>
      <xdr:rowOff>127000</xdr:rowOff>
    </xdr:from>
    <xdr:to>
      <xdr:col>2</xdr:col>
      <xdr:colOff>631779</xdr:colOff>
      <xdr:row>5</xdr:row>
      <xdr:rowOff>182880</xdr:rowOff>
    </xdr:to>
    <xdr:pic>
      <xdr:nvPicPr>
        <xdr:cNvPr id="4" name="Imagen 3" descr="Texto&#10;&#10;Descripción generada automáticamente con confianza media">
          <a:extLst>
            <a:ext uri="{FF2B5EF4-FFF2-40B4-BE49-F238E27FC236}">
              <a16:creationId xmlns:a16="http://schemas.microsoft.com/office/drawing/2014/main" id="{AA2218CA-6027-4207-9566-BEE242588E92}"/>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5450" y="495300"/>
          <a:ext cx="2466929" cy="608330"/>
        </a:xfrm>
        <a:prstGeom prst="rect">
          <a:avLst/>
        </a:prstGeom>
      </xdr:spPr>
    </xdr:pic>
    <xdr:clientData/>
  </xdr:twoCellAnchor>
  <xdr:twoCellAnchor>
    <xdr:from>
      <xdr:col>1</xdr:col>
      <xdr:colOff>84665</xdr:colOff>
      <xdr:row>6</xdr:row>
      <xdr:rowOff>177799</xdr:rowOff>
    </xdr:from>
    <xdr:to>
      <xdr:col>7</xdr:col>
      <xdr:colOff>25399</xdr:colOff>
      <xdr:row>10</xdr:row>
      <xdr:rowOff>110065</xdr:rowOff>
    </xdr:to>
    <xdr:sp macro="" textlink="">
      <xdr:nvSpPr>
        <xdr:cNvPr id="5" name="CuadroTexto 4">
          <a:extLst>
            <a:ext uri="{FF2B5EF4-FFF2-40B4-BE49-F238E27FC236}">
              <a16:creationId xmlns:a16="http://schemas.microsoft.com/office/drawing/2014/main" id="{D62ADDE9-D5D2-4AFA-BDAA-48B8324039E8}"/>
            </a:ext>
          </a:extLst>
        </xdr:cNvPr>
        <xdr:cNvSpPr txBox="1"/>
      </xdr:nvSpPr>
      <xdr:spPr>
        <a:xfrm>
          <a:off x="421215" y="1282699"/>
          <a:ext cx="9662584" cy="6688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u="sng">
              <a:solidFill>
                <a:schemeClr val="accent1"/>
              </a:solidFill>
            </a:rPr>
            <a:t>NOTA INFORMATIVA</a:t>
          </a:r>
          <a:r>
            <a:rPr lang="es-ES" sz="1100" b="1">
              <a:solidFill>
                <a:schemeClr val="accent1"/>
              </a:solidFill>
            </a:rPr>
            <a:t>: </a:t>
          </a:r>
          <a:r>
            <a:rPr lang="es-ES" sz="1100"/>
            <a:t>Este</a:t>
          </a:r>
          <a:r>
            <a:rPr lang="es-ES" sz="1100" baseline="0"/>
            <a:t> modelo podrá ser modificado por la entidad colaboradora en caso de considerarlo necesario. Es conveniente que se rellene toda la información pedida, puesto que es necesaria para el cálculo del ecoincentivo. En caso de duda se tomará como datos de entrada en la calculadora la opción que este del lado de la seguridad.</a:t>
          </a:r>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1235680</xdr:colOff>
      <xdr:row>3</xdr:row>
      <xdr:rowOff>4233</xdr:rowOff>
    </xdr:from>
    <xdr:to>
      <xdr:col>6</xdr:col>
      <xdr:colOff>417212</xdr:colOff>
      <xdr:row>5</xdr:row>
      <xdr:rowOff>183848</xdr:rowOff>
    </xdr:to>
    <xdr:pic>
      <xdr:nvPicPr>
        <xdr:cNvPr id="2" name="Imagen 1">
          <a:extLst>
            <a:ext uri="{FF2B5EF4-FFF2-40B4-BE49-F238E27FC236}">
              <a16:creationId xmlns:a16="http://schemas.microsoft.com/office/drawing/2014/main" id="{F0B4B8B0-8BF3-456C-BB46-C4F1A7C5E1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4547" y="563033"/>
          <a:ext cx="3118532" cy="552148"/>
        </a:xfrm>
        <a:prstGeom prst="rect">
          <a:avLst/>
        </a:prstGeom>
        <a:noFill/>
      </xdr:spPr>
    </xdr:pic>
    <xdr:clientData/>
  </xdr:twoCellAnchor>
  <xdr:twoCellAnchor editAs="oneCell">
    <xdr:from>
      <xdr:col>6</xdr:col>
      <xdr:colOff>419101</xdr:colOff>
      <xdr:row>2</xdr:row>
      <xdr:rowOff>182563</xdr:rowOff>
    </xdr:from>
    <xdr:to>
      <xdr:col>7</xdr:col>
      <xdr:colOff>1081406</xdr:colOff>
      <xdr:row>5</xdr:row>
      <xdr:rowOff>158661</xdr:rowOff>
    </xdr:to>
    <xdr:pic>
      <xdr:nvPicPr>
        <xdr:cNvPr id="3" name="Imagen 2">
          <a:extLst>
            <a:ext uri="{FF2B5EF4-FFF2-40B4-BE49-F238E27FC236}">
              <a16:creationId xmlns:a16="http://schemas.microsoft.com/office/drawing/2014/main" id="{16F5D483-918B-4447-B27A-9B207192377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94968" y="555096"/>
          <a:ext cx="1873038" cy="534898"/>
        </a:xfrm>
        <a:prstGeom prst="rect">
          <a:avLst/>
        </a:prstGeom>
        <a:noFill/>
        <a:ln>
          <a:noFill/>
        </a:ln>
      </xdr:spPr>
    </xdr:pic>
    <xdr:clientData/>
  </xdr:twoCellAnchor>
  <xdr:twoCellAnchor editAs="oneCell">
    <xdr:from>
      <xdr:col>1</xdr:col>
      <xdr:colOff>88900</xdr:colOff>
      <xdr:row>2</xdr:row>
      <xdr:rowOff>127000</xdr:rowOff>
    </xdr:from>
    <xdr:to>
      <xdr:col>2</xdr:col>
      <xdr:colOff>953512</xdr:colOff>
      <xdr:row>5</xdr:row>
      <xdr:rowOff>182880</xdr:rowOff>
    </xdr:to>
    <xdr:pic>
      <xdr:nvPicPr>
        <xdr:cNvPr id="4" name="Imagen 3" descr="Texto&#10;&#10;Descripción generada automáticamente con confianza media">
          <a:extLst>
            <a:ext uri="{FF2B5EF4-FFF2-40B4-BE49-F238E27FC236}">
              <a16:creationId xmlns:a16="http://schemas.microsoft.com/office/drawing/2014/main" id="{9212C54B-E16D-4FD6-A6D4-1CAA4C65F25D}"/>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5450" y="495300"/>
          <a:ext cx="2464812" cy="6083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uertos-my.sharepoint.com/Users/Julian/Dropbox/CALCULADOR%20FERROVIARIO/FASE%20II/Simulacion%20Presupuesto/Eco-incentivo%20ffcc.%20Tablas%20resultados%20final%20(12.4.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co-incentivos"/>
      <sheetName val="Presupuesto"/>
      <sheetName val="Reparto operadores"/>
      <sheetName val="Reparto ámbito"/>
      <sheetName val="Presupuesto MITMA esquema 2018"/>
      <sheetName val="Muestra caracterizada"/>
      <sheetName val="Ajuste anuario"/>
      <sheetName val="Resultados toneladas"/>
      <sheetName val="Resultados t-km"/>
      <sheetName val="anuario MITMA"/>
    </sheetNames>
    <sheetDataSet>
      <sheetData sheetId="0"/>
      <sheetData sheetId="1"/>
      <sheetData sheetId="2">
        <row r="40">
          <cell r="D40">
            <v>22741954.709870771</v>
          </cell>
          <cell r="E40">
            <v>3630302.0782986507</v>
          </cell>
          <cell r="F40">
            <v>1694126.7512039375</v>
          </cell>
          <cell r="G40">
            <v>411025.68556287885</v>
          </cell>
          <cell r="H40">
            <v>0</v>
          </cell>
          <cell r="I40">
            <v>30207.805805995493</v>
          </cell>
          <cell r="J40">
            <v>458318.99427023821</v>
          </cell>
          <cell r="K40">
            <v>1038501.3265579342</v>
          </cell>
          <cell r="L40">
            <v>0</v>
          </cell>
        </row>
        <row r="54">
          <cell r="D54">
            <v>24202304.702995174</v>
          </cell>
          <cell r="E54">
            <v>3921370.1095823208</v>
          </cell>
          <cell r="F54">
            <v>3205924.7428481998</v>
          </cell>
          <cell r="G54">
            <v>469434.20011541282</v>
          </cell>
          <cell r="H54">
            <v>340692.31420526974</v>
          </cell>
          <cell r="I54">
            <v>34500.464700544529</v>
          </cell>
          <cell r="J54">
            <v>763305.14411131712</v>
          </cell>
          <cell r="K54">
            <v>1392954.3905861396</v>
          </cell>
          <cell r="L54">
            <v>126770.56793438531</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50600-EB86-4B6E-B2FF-83A3CECAFE9A}">
  <sheetPr>
    <tabColor theme="8" tint="0.59999389629810485"/>
  </sheetPr>
  <dimension ref="A1:P39"/>
  <sheetViews>
    <sheetView zoomScale="55" zoomScaleNormal="85" workbookViewId="0">
      <selection activeCell="B27" sqref="B27"/>
    </sheetView>
  </sheetViews>
  <sheetFormatPr baseColWidth="10" defaultColWidth="11.453125" defaultRowHeight="14.5" x14ac:dyDescent="0.35"/>
  <cols>
    <col min="1" max="1" width="7.1796875" style="5" customWidth="1"/>
    <col min="2" max="2" width="25.453125" style="5" customWidth="1"/>
    <col min="3" max="3" width="30.453125" style="5" customWidth="1"/>
    <col min="4" max="9" width="15.81640625" style="5" customWidth="1"/>
    <col min="10" max="11" width="13.81640625" style="5" customWidth="1"/>
    <col min="12" max="12" width="22.81640625" style="5" customWidth="1"/>
    <col min="13" max="13" width="5.453125" style="5" customWidth="1"/>
    <col min="14" max="18" width="18.453125" style="5" customWidth="1"/>
    <col min="19" max="19" width="15.81640625" style="5" bestFit="1" customWidth="1"/>
    <col min="20" max="20" width="8.1796875" style="5" bestFit="1" customWidth="1"/>
    <col min="21" max="21" width="19.54296875" style="5" bestFit="1" customWidth="1"/>
    <col min="22" max="22" width="21.453125" style="5" bestFit="1" customWidth="1"/>
    <col min="23" max="24" width="7" style="5" bestFit="1" customWidth="1"/>
    <col min="25" max="25" width="16.453125" style="5" bestFit="1" customWidth="1"/>
    <col min="26" max="26" width="15.81640625" style="5" bestFit="1" customWidth="1"/>
    <col min="27" max="27" width="8.1796875" style="5" bestFit="1" customWidth="1"/>
    <col min="28" max="28" width="15.81640625" style="5" bestFit="1" customWidth="1"/>
    <col min="29" max="29" width="8.1796875" style="5" bestFit="1" customWidth="1"/>
    <col min="30" max="30" width="29.453125" style="5" bestFit="1" customWidth="1"/>
    <col min="31" max="31" width="26.81640625" style="5" bestFit="1" customWidth="1"/>
    <col min="32" max="32" width="23.453125" style="5" bestFit="1" customWidth="1"/>
    <col min="33" max="33" width="24.81640625" style="5" bestFit="1" customWidth="1"/>
    <col min="34" max="34" width="18.81640625" style="5" bestFit="1" customWidth="1"/>
    <col min="35" max="35" width="23.453125" style="5" bestFit="1" customWidth="1"/>
    <col min="36" max="36" width="16.453125" style="5" bestFit="1" customWidth="1"/>
    <col min="37" max="37" width="23.453125" style="5" bestFit="1" customWidth="1"/>
    <col min="38" max="38" width="16.54296875" style="5" bestFit="1" customWidth="1"/>
    <col min="39" max="39" width="23.453125" style="5" bestFit="1" customWidth="1"/>
    <col min="40" max="40" width="24.81640625" style="5" bestFit="1" customWidth="1"/>
    <col min="41" max="41" width="23.453125" style="5" bestFit="1" customWidth="1"/>
    <col min="42" max="42" width="17" style="5" bestFit="1" customWidth="1"/>
    <col min="43" max="43" width="16.453125" style="5" bestFit="1" customWidth="1"/>
    <col min="44" max="44" width="23.453125" style="5" bestFit="1" customWidth="1"/>
    <col min="45" max="45" width="17" style="5" bestFit="1" customWidth="1"/>
    <col min="46" max="46" width="16.54296875" style="5" bestFit="1" customWidth="1"/>
    <col min="47" max="47" width="23.453125" style="5" bestFit="1" customWidth="1"/>
    <col min="48" max="48" width="17" style="5" bestFit="1" customWidth="1"/>
    <col min="49" max="49" width="24.81640625" style="5" bestFit="1" customWidth="1"/>
    <col min="50" max="16384" width="11.453125" style="5"/>
  </cols>
  <sheetData>
    <row r="1" spans="1:16" x14ac:dyDescent="0.35">
      <c r="A1" s="3"/>
      <c r="B1" s="3"/>
      <c r="C1" s="3"/>
      <c r="D1" s="3"/>
      <c r="E1" s="3"/>
      <c r="F1" s="3"/>
      <c r="G1" s="3"/>
      <c r="H1" s="3"/>
      <c r="I1" s="3"/>
      <c r="J1" s="3"/>
      <c r="K1" s="3"/>
      <c r="L1" s="3"/>
    </row>
    <row r="2" spans="1:16" x14ac:dyDescent="0.35">
      <c r="A2" s="3"/>
      <c r="B2" s="35" t="s">
        <v>138</v>
      </c>
      <c r="C2" s="35"/>
      <c r="D2" s="35"/>
      <c r="E2" s="35"/>
      <c r="F2" s="3"/>
      <c r="G2" s="3"/>
      <c r="H2" s="3"/>
      <c r="I2" s="3"/>
      <c r="J2" s="3"/>
      <c r="K2" s="3"/>
      <c r="L2" s="3"/>
    </row>
    <row r="3" spans="1:16" ht="6" customHeight="1" x14ac:dyDescent="0.35">
      <c r="A3" s="3"/>
      <c r="B3" s="3"/>
      <c r="C3" s="3"/>
      <c r="D3" s="3"/>
      <c r="E3" s="3"/>
      <c r="F3" s="3"/>
      <c r="G3" s="3"/>
      <c r="H3" s="3"/>
      <c r="I3" s="3"/>
      <c r="J3" s="3"/>
      <c r="K3" s="3"/>
      <c r="L3" s="3"/>
    </row>
    <row r="4" spans="1:16" ht="14.5" customHeight="1" x14ac:dyDescent="0.35">
      <c r="A4" s="3"/>
      <c r="B4" s="234" t="s">
        <v>17</v>
      </c>
      <c r="C4" s="234" t="s">
        <v>28</v>
      </c>
      <c r="D4" s="20"/>
      <c r="E4" s="236" t="s">
        <v>24</v>
      </c>
      <c r="F4" s="236"/>
      <c r="G4" s="236"/>
      <c r="H4" s="236"/>
      <c r="I4" s="230"/>
      <c r="J4" s="229" t="s">
        <v>18</v>
      </c>
      <c r="K4" s="230"/>
      <c r="L4" s="3"/>
    </row>
    <row r="5" spans="1:16" ht="14.5" customHeight="1" x14ac:dyDescent="0.35">
      <c r="A5" s="3"/>
      <c r="B5" s="235"/>
      <c r="C5" s="235"/>
      <c r="D5" s="235" t="s">
        <v>25</v>
      </c>
      <c r="E5" s="235"/>
      <c r="F5" s="235" t="s">
        <v>23</v>
      </c>
      <c r="G5" s="235"/>
      <c r="H5" s="235" t="s">
        <v>14</v>
      </c>
      <c r="I5" s="235"/>
      <c r="J5" s="231"/>
      <c r="K5" s="232"/>
      <c r="L5" s="3"/>
    </row>
    <row r="6" spans="1:16" x14ac:dyDescent="0.35">
      <c r="A6" s="3"/>
      <c r="B6" s="226"/>
      <c r="C6" s="226"/>
      <c r="D6" s="19" t="s">
        <v>21</v>
      </c>
      <c r="E6" s="19" t="s">
        <v>20</v>
      </c>
      <c r="F6" s="19" t="s">
        <v>21</v>
      </c>
      <c r="G6" s="19" t="s">
        <v>20</v>
      </c>
      <c r="H6" s="19" t="s">
        <v>21</v>
      </c>
      <c r="I6" s="19" t="s">
        <v>20</v>
      </c>
      <c r="J6" s="19" t="s">
        <v>21</v>
      </c>
      <c r="K6" s="19" t="s">
        <v>20</v>
      </c>
      <c r="L6" s="3"/>
      <c r="P6" s="12"/>
    </row>
    <row r="7" spans="1:16" x14ac:dyDescent="0.35">
      <c r="A7" s="3"/>
      <c r="B7" s="225" t="s">
        <v>4</v>
      </c>
      <c r="C7" s="18" t="s">
        <v>16</v>
      </c>
      <c r="D7" s="13" t="e">
        <f>#REF!</f>
        <v>#REF!</v>
      </c>
      <c r="E7" s="7" t="e">
        <f>#REF!</f>
        <v>#REF!</v>
      </c>
      <c r="F7" s="7" t="e">
        <f>#REF!</f>
        <v>#REF!</v>
      </c>
      <c r="G7" s="7" t="e">
        <f>#REF!</f>
        <v>#REF!</v>
      </c>
      <c r="H7" s="7" t="e">
        <f>#REF!</f>
        <v>#REF!</v>
      </c>
      <c r="I7" s="7" t="e">
        <f>#REF!</f>
        <v>#REF!</v>
      </c>
      <c r="J7" s="227" t="e">
        <f>D7+D8+F7+F8+H7+H8</f>
        <v>#REF!</v>
      </c>
      <c r="K7" s="227" t="e">
        <f>E7+E8+G7+G8+I7+I8</f>
        <v>#REF!</v>
      </c>
      <c r="L7" s="3"/>
      <c r="N7" s="2"/>
    </row>
    <row r="8" spans="1:16" x14ac:dyDescent="0.35">
      <c r="A8" s="3"/>
      <c r="B8" s="226"/>
      <c r="C8" s="19" t="s">
        <v>26</v>
      </c>
      <c r="D8" s="8" t="e">
        <f>#REF!</f>
        <v>#REF!</v>
      </c>
      <c r="E8" s="9" t="e">
        <f>#REF!</f>
        <v>#REF!</v>
      </c>
      <c r="F8" s="8" t="e">
        <f>#REF!</f>
        <v>#REF!</v>
      </c>
      <c r="G8" s="8" t="e">
        <f>#REF!</f>
        <v>#REF!</v>
      </c>
      <c r="H8" s="8" t="e">
        <f>#REF!</f>
        <v>#REF!</v>
      </c>
      <c r="I8" s="8" t="e">
        <f>#REF!</f>
        <v>#REF!</v>
      </c>
      <c r="J8" s="228"/>
      <c r="K8" s="228"/>
      <c r="L8" s="3"/>
      <c r="N8" s="2"/>
    </row>
    <row r="9" spans="1:16" x14ac:dyDescent="0.35">
      <c r="A9" s="3"/>
      <c r="B9" s="225" t="s">
        <v>15</v>
      </c>
      <c r="C9" s="18" t="s">
        <v>16</v>
      </c>
      <c r="D9" s="7" t="e">
        <f>#REF!</f>
        <v>#REF!</v>
      </c>
      <c r="E9" s="7" t="e">
        <f>#REF!</f>
        <v>#REF!</v>
      </c>
      <c r="F9" s="7" t="e">
        <f>#REF!</f>
        <v>#REF!</v>
      </c>
      <c r="G9" s="7" t="e">
        <f>#REF!</f>
        <v>#REF!</v>
      </c>
      <c r="H9" s="7" t="e">
        <f>#REF!</f>
        <v>#REF!</v>
      </c>
      <c r="I9" s="7" t="e">
        <f>#REF!</f>
        <v>#REF!</v>
      </c>
      <c r="J9" s="227" t="e">
        <f>D9+D10+F9+F10+H9+H10</f>
        <v>#REF!</v>
      </c>
      <c r="K9" s="227" t="e">
        <f>E9+E10+G9+G10+I9+I10</f>
        <v>#REF!</v>
      </c>
      <c r="L9" s="3"/>
    </row>
    <row r="10" spans="1:16" x14ac:dyDescent="0.35">
      <c r="A10" s="3"/>
      <c r="B10" s="226"/>
      <c r="C10" s="19" t="s">
        <v>26</v>
      </c>
      <c r="D10" s="8" t="e">
        <f>#REF!</f>
        <v>#REF!</v>
      </c>
      <c r="E10" s="9" t="e">
        <f>#REF!</f>
        <v>#REF!</v>
      </c>
      <c r="F10" s="8" t="e">
        <f>#REF!</f>
        <v>#REF!</v>
      </c>
      <c r="G10" s="8" t="e">
        <f>#REF!</f>
        <v>#REF!</v>
      </c>
      <c r="H10" s="8" t="e">
        <f>#REF!</f>
        <v>#REF!</v>
      </c>
      <c r="I10" s="8" t="e">
        <f>#REF!</f>
        <v>#REF!</v>
      </c>
      <c r="J10" s="228"/>
      <c r="K10" s="228"/>
      <c r="L10" s="3"/>
    </row>
    <row r="11" spans="1:16" x14ac:dyDescent="0.35">
      <c r="A11" s="3"/>
      <c r="B11" s="224" t="s">
        <v>18</v>
      </c>
      <c r="C11" s="224"/>
      <c r="D11" s="10" t="e">
        <f t="shared" ref="D11:K11" si="0">SUM(D7:D10)</f>
        <v>#REF!</v>
      </c>
      <c r="E11" s="10" t="e">
        <f t="shared" si="0"/>
        <v>#REF!</v>
      </c>
      <c r="F11" s="10" t="e">
        <f t="shared" si="0"/>
        <v>#REF!</v>
      </c>
      <c r="G11" s="10" t="e">
        <f t="shared" si="0"/>
        <v>#REF!</v>
      </c>
      <c r="H11" s="10" t="e">
        <f t="shared" si="0"/>
        <v>#REF!</v>
      </c>
      <c r="I11" s="10" t="e">
        <f t="shared" si="0"/>
        <v>#REF!</v>
      </c>
      <c r="J11" s="10" t="e">
        <f t="shared" si="0"/>
        <v>#REF!</v>
      </c>
      <c r="K11" s="10" t="e">
        <f t="shared" si="0"/>
        <v>#REF!</v>
      </c>
      <c r="L11" s="16" t="e">
        <f>K11+J11</f>
        <v>#REF!</v>
      </c>
    </row>
    <row r="12" spans="1:16" ht="14.5" customHeight="1" x14ac:dyDescent="0.35">
      <c r="A12" s="3"/>
      <c r="B12" s="3"/>
      <c r="C12" s="3"/>
      <c r="D12" s="3"/>
      <c r="E12" s="3"/>
      <c r="F12" s="3"/>
      <c r="G12" s="3"/>
      <c r="H12" s="3"/>
      <c r="I12" s="3"/>
      <c r="J12" s="11" t="e">
        <f>J11/(J11+K11)</f>
        <v>#REF!</v>
      </c>
      <c r="K12" s="11" t="e">
        <f>K11/(K11+J11)</f>
        <v>#REF!</v>
      </c>
      <c r="L12" s="3"/>
    </row>
    <row r="13" spans="1:16" x14ac:dyDescent="0.35">
      <c r="A13" s="3"/>
      <c r="B13" s="3"/>
      <c r="C13" s="3"/>
      <c r="D13" s="3"/>
      <c r="E13" s="3"/>
      <c r="F13" s="3"/>
      <c r="G13" s="3"/>
      <c r="H13" s="3"/>
      <c r="I13" s="3"/>
      <c r="J13" s="3"/>
      <c r="K13" s="3"/>
      <c r="L13" s="3"/>
    </row>
    <row r="14" spans="1:16" x14ac:dyDescent="0.35">
      <c r="A14" s="3"/>
      <c r="B14" s="3"/>
      <c r="C14" s="3"/>
      <c r="D14" s="3"/>
      <c r="E14" s="3"/>
      <c r="F14" s="3"/>
      <c r="G14" s="3"/>
      <c r="H14" s="3"/>
      <c r="I14" s="3"/>
      <c r="J14" s="3"/>
      <c r="K14" s="3"/>
      <c r="L14" s="3"/>
    </row>
    <row r="15" spans="1:16" x14ac:dyDescent="0.35">
      <c r="A15" s="3"/>
      <c r="B15" s="35" t="s">
        <v>139</v>
      </c>
      <c r="C15" s="35"/>
      <c r="D15" s="35"/>
      <c r="E15" s="35"/>
      <c r="F15" s="3"/>
      <c r="G15" s="3"/>
      <c r="H15" s="3"/>
      <c r="I15" s="3"/>
      <c r="J15" s="3"/>
      <c r="K15" s="3"/>
      <c r="L15" s="3"/>
    </row>
    <row r="16" spans="1:16" ht="6" customHeight="1" x14ac:dyDescent="0.35">
      <c r="A16" s="3"/>
      <c r="B16" s="3"/>
      <c r="C16" s="3"/>
      <c r="D16" s="3"/>
      <c r="E16" s="3"/>
      <c r="F16" s="3"/>
      <c r="G16" s="3"/>
      <c r="H16" s="3"/>
      <c r="I16" s="3"/>
      <c r="J16" s="3"/>
      <c r="K16" s="3"/>
      <c r="L16" s="3"/>
    </row>
    <row r="17" spans="1:16" x14ac:dyDescent="0.35">
      <c r="A17" s="3"/>
      <c r="B17" s="234" t="s">
        <v>17</v>
      </c>
      <c r="C17" s="234" t="s">
        <v>3</v>
      </c>
      <c r="D17" s="20"/>
      <c r="E17" s="236" t="s">
        <v>24</v>
      </c>
      <c r="F17" s="236"/>
      <c r="G17" s="236"/>
      <c r="H17" s="236"/>
      <c r="I17" s="230"/>
      <c r="J17" s="229" t="s">
        <v>18</v>
      </c>
      <c r="K17" s="230"/>
      <c r="L17" s="3"/>
    </row>
    <row r="18" spans="1:16" x14ac:dyDescent="0.35">
      <c r="A18" s="3"/>
      <c r="B18" s="235"/>
      <c r="C18" s="235"/>
      <c r="D18" s="235" t="s">
        <v>25</v>
      </c>
      <c r="E18" s="235"/>
      <c r="F18" s="235" t="s">
        <v>23</v>
      </c>
      <c r="G18" s="235"/>
      <c r="H18" s="235" t="s">
        <v>14</v>
      </c>
      <c r="I18" s="235"/>
      <c r="J18" s="231"/>
      <c r="K18" s="232"/>
      <c r="L18" s="3"/>
    </row>
    <row r="19" spans="1:16" x14ac:dyDescent="0.35">
      <c r="A19" s="3"/>
      <c r="B19" s="226"/>
      <c r="C19" s="226"/>
      <c r="D19" s="19" t="s">
        <v>21</v>
      </c>
      <c r="E19" s="19" t="s">
        <v>20</v>
      </c>
      <c r="F19" s="19" t="s">
        <v>21</v>
      </c>
      <c r="G19" s="19" t="s">
        <v>20</v>
      </c>
      <c r="H19" s="19" t="s">
        <v>21</v>
      </c>
      <c r="I19" s="19" t="s">
        <v>20</v>
      </c>
      <c r="J19" s="19" t="s">
        <v>21</v>
      </c>
      <c r="K19" s="19" t="s">
        <v>20</v>
      </c>
      <c r="L19" s="3"/>
    </row>
    <row r="20" spans="1:16" x14ac:dyDescent="0.35">
      <c r="A20" s="3"/>
      <c r="B20" s="225" t="s">
        <v>4</v>
      </c>
      <c r="C20" s="18" t="s">
        <v>16</v>
      </c>
      <c r="D20" s="7" t="e">
        <f>#REF!</f>
        <v>#REF!</v>
      </c>
      <c r="E20" s="7" t="e">
        <f>#REF!</f>
        <v>#REF!</v>
      </c>
      <c r="F20" s="7" t="e">
        <f>#REF!</f>
        <v>#REF!</v>
      </c>
      <c r="G20" s="7" t="e">
        <f>#REF!</f>
        <v>#REF!</v>
      </c>
      <c r="H20" s="7" t="e">
        <f>#REF!</f>
        <v>#REF!</v>
      </c>
      <c r="I20" s="7" t="e">
        <f>#REF!</f>
        <v>#REF!</v>
      </c>
      <c r="J20" s="227" t="e">
        <f>D20+D21+F20+F21+H20+H21</f>
        <v>#REF!</v>
      </c>
      <c r="K20" s="227" t="e">
        <f>E20+E21+G20+G21+I20+I21</f>
        <v>#REF!</v>
      </c>
      <c r="L20" s="3"/>
    </row>
    <row r="21" spans="1:16" x14ac:dyDescent="0.35">
      <c r="A21" s="3"/>
      <c r="B21" s="226"/>
      <c r="C21" s="19" t="s">
        <v>26</v>
      </c>
      <c r="D21" s="8" t="e">
        <f>#REF!</f>
        <v>#REF!</v>
      </c>
      <c r="E21" s="9" t="e">
        <f>#REF!</f>
        <v>#REF!</v>
      </c>
      <c r="F21" s="8" t="e">
        <f>#REF!</f>
        <v>#REF!</v>
      </c>
      <c r="G21" s="8" t="e">
        <f>#REF!</f>
        <v>#REF!</v>
      </c>
      <c r="H21" s="8" t="e">
        <f>#REF!</f>
        <v>#REF!</v>
      </c>
      <c r="I21" s="8" t="e">
        <f>#REF!</f>
        <v>#REF!</v>
      </c>
      <c r="J21" s="228"/>
      <c r="K21" s="228"/>
      <c r="L21" s="3"/>
    </row>
    <row r="22" spans="1:16" x14ac:dyDescent="0.35">
      <c r="A22" s="3"/>
      <c r="B22" s="225" t="s">
        <v>15</v>
      </c>
      <c r="C22" s="18" t="s">
        <v>16</v>
      </c>
      <c r="D22" s="7" t="e">
        <f>#REF!</f>
        <v>#REF!</v>
      </c>
      <c r="E22" s="7" t="e">
        <f>#REF!</f>
        <v>#REF!</v>
      </c>
      <c r="F22" s="7" t="e">
        <f>#REF!</f>
        <v>#REF!</v>
      </c>
      <c r="G22" s="7" t="e">
        <f>#REF!</f>
        <v>#REF!</v>
      </c>
      <c r="H22" s="7" t="e">
        <f>#REF!</f>
        <v>#REF!</v>
      </c>
      <c r="I22" s="7" t="e">
        <f>#REF!</f>
        <v>#REF!</v>
      </c>
      <c r="J22" s="227" t="e">
        <f>D22+D23+F22+F23+H22+H23</f>
        <v>#REF!</v>
      </c>
      <c r="K22" s="227" t="e">
        <f>E22+E23+G22+G23+I22+I23</f>
        <v>#REF!</v>
      </c>
      <c r="L22" s="3"/>
    </row>
    <row r="23" spans="1:16" x14ac:dyDescent="0.35">
      <c r="A23" s="3"/>
      <c r="B23" s="226"/>
      <c r="C23" s="19" t="s">
        <v>26</v>
      </c>
      <c r="D23" s="8" t="e">
        <f>#REF!</f>
        <v>#REF!</v>
      </c>
      <c r="E23" s="9" t="e">
        <f>#REF!</f>
        <v>#REF!</v>
      </c>
      <c r="F23" s="8" t="e">
        <f>#REF!</f>
        <v>#REF!</v>
      </c>
      <c r="G23" s="8" t="e">
        <f>#REF!</f>
        <v>#REF!</v>
      </c>
      <c r="H23" s="8" t="e">
        <f>#REF!</f>
        <v>#REF!</v>
      </c>
      <c r="I23" s="8" t="e">
        <f>#REF!</f>
        <v>#REF!</v>
      </c>
      <c r="J23" s="228"/>
      <c r="K23" s="228"/>
      <c r="L23" s="3"/>
    </row>
    <row r="24" spans="1:16" x14ac:dyDescent="0.35">
      <c r="A24" s="3"/>
      <c r="B24" s="224" t="s">
        <v>18</v>
      </c>
      <c r="C24" s="224"/>
      <c r="D24" s="10" t="e">
        <f t="shared" ref="D24:K24" si="1">SUM(D20:D23)</f>
        <v>#REF!</v>
      </c>
      <c r="E24" s="10" t="e">
        <f t="shared" si="1"/>
        <v>#REF!</v>
      </c>
      <c r="F24" s="10" t="e">
        <f t="shared" si="1"/>
        <v>#REF!</v>
      </c>
      <c r="G24" s="10" t="e">
        <f t="shared" si="1"/>
        <v>#REF!</v>
      </c>
      <c r="H24" s="10" t="e">
        <f t="shared" si="1"/>
        <v>#REF!</v>
      </c>
      <c r="I24" s="10" t="e">
        <f t="shared" si="1"/>
        <v>#REF!</v>
      </c>
      <c r="J24" s="10" t="e">
        <f t="shared" si="1"/>
        <v>#REF!</v>
      </c>
      <c r="K24" s="10" t="e">
        <f t="shared" si="1"/>
        <v>#REF!</v>
      </c>
      <c r="L24" s="16" t="e">
        <f>K24+J24</f>
        <v>#REF!</v>
      </c>
    </row>
    <row r="25" spans="1:16" x14ac:dyDescent="0.35">
      <c r="A25" s="3"/>
      <c r="B25" s="3"/>
      <c r="C25" s="3"/>
      <c r="D25" s="3"/>
      <c r="E25" s="3"/>
      <c r="F25" s="3"/>
      <c r="G25" s="3"/>
      <c r="H25" s="3"/>
      <c r="I25" s="3"/>
      <c r="J25" s="11" t="e">
        <f>J24/(J24+K24)</f>
        <v>#REF!</v>
      </c>
      <c r="K25" s="11" t="e">
        <f>K24/(K24+J24)</f>
        <v>#REF!</v>
      </c>
      <c r="L25" s="3"/>
    </row>
    <row r="26" spans="1:16" x14ac:dyDescent="0.35">
      <c r="A26" s="3"/>
      <c r="B26" s="3"/>
      <c r="C26" s="3"/>
      <c r="D26" s="3"/>
      <c r="E26" s="3"/>
      <c r="F26" s="3"/>
      <c r="G26" s="3"/>
      <c r="H26" s="3"/>
      <c r="I26" s="3"/>
      <c r="J26" s="3"/>
      <c r="K26" s="3"/>
      <c r="L26" s="3"/>
    </row>
    <row r="27" spans="1:16" x14ac:dyDescent="0.35">
      <c r="A27" s="3"/>
      <c r="B27" s="3"/>
      <c r="C27" s="3"/>
      <c r="D27" s="3"/>
      <c r="E27" s="3"/>
      <c r="F27" s="3"/>
      <c r="G27" s="3"/>
      <c r="H27" s="3"/>
      <c r="I27" s="3"/>
      <c r="J27" s="3"/>
      <c r="K27" s="3"/>
      <c r="L27" s="3"/>
      <c r="M27" s="3"/>
      <c r="N27" s="3"/>
      <c r="O27" s="3"/>
      <c r="P27" s="3"/>
    </row>
    <row r="28" spans="1:16" ht="16.5" x14ac:dyDescent="0.35">
      <c r="A28" s="3"/>
      <c r="B28" s="233" t="s">
        <v>140</v>
      </c>
      <c r="C28" s="233"/>
      <c r="D28" s="233"/>
      <c r="E28" s="233"/>
      <c r="F28" s="3"/>
      <c r="G28" s="3"/>
      <c r="H28" s="3"/>
      <c r="I28" s="3"/>
      <c r="J28" s="3"/>
      <c r="K28" s="3"/>
      <c r="L28" s="3"/>
      <c r="M28" s="3"/>
      <c r="N28" s="37" t="s">
        <v>82</v>
      </c>
      <c r="O28" s="3"/>
      <c r="P28" s="3"/>
    </row>
    <row r="29" spans="1:16" ht="6" customHeight="1" x14ac:dyDescent="0.35">
      <c r="A29" s="3"/>
      <c r="B29" s="3"/>
      <c r="C29" s="3"/>
      <c r="D29" s="3"/>
      <c r="E29" s="3"/>
      <c r="F29" s="3"/>
      <c r="G29" s="3"/>
      <c r="H29" s="3"/>
      <c r="I29" s="3"/>
      <c r="J29" s="3"/>
      <c r="K29" s="3"/>
      <c r="L29" s="3"/>
      <c r="M29" s="3"/>
      <c r="N29" s="3"/>
      <c r="O29" s="3"/>
      <c r="P29" s="3"/>
    </row>
    <row r="30" spans="1:16" x14ac:dyDescent="0.35">
      <c r="A30" s="3"/>
      <c r="B30" s="234" t="s">
        <v>17</v>
      </c>
      <c r="C30" s="234" t="s">
        <v>28</v>
      </c>
      <c r="D30" s="20"/>
      <c r="E30" s="236" t="s">
        <v>24</v>
      </c>
      <c r="F30" s="236"/>
      <c r="G30" s="236"/>
      <c r="H30" s="236"/>
      <c r="I30" s="230"/>
      <c r="J30" s="229" t="s">
        <v>18</v>
      </c>
      <c r="K30" s="230"/>
      <c r="L30" s="3"/>
      <c r="M30" s="3"/>
      <c r="N30" s="222" t="s">
        <v>1</v>
      </c>
      <c r="O30" s="223"/>
      <c r="P30" s="3"/>
    </row>
    <row r="31" spans="1:16" x14ac:dyDescent="0.35">
      <c r="A31" s="3"/>
      <c r="B31" s="235"/>
      <c r="C31" s="235"/>
      <c r="D31" s="235" t="s">
        <v>25</v>
      </c>
      <c r="E31" s="235"/>
      <c r="F31" s="235" t="s">
        <v>23</v>
      </c>
      <c r="G31" s="235"/>
      <c r="H31" s="235" t="s">
        <v>14</v>
      </c>
      <c r="I31" s="235"/>
      <c r="J31" s="231"/>
      <c r="K31" s="232"/>
      <c r="L31" s="3"/>
      <c r="M31" s="3"/>
      <c r="N31" s="38" t="s">
        <v>32</v>
      </c>
      <c r="O31" s="38" t="s">
        <v>2</v>
      </c>
      <c r="P31" s="3"/>
    </row>
    <row r="32" spans="1:16" x14ac:dyDescent="0.35">
      <c r="A32" s="3"/>
      <c r="B32" s="226"/>
      <c r="C32" s="226"/>
      <c r="D32" s="19" t="s">
        <v>21</v>
      </c>
      <c r="E32" s="19" t="s">
        <v>20</v>
      </c>
      <c r="F32" s="19" t="s">
        <v>21</v>
      </c>
      <c r="G32" s="19" t="s">
        <v>20</v>
      </c>
      <c r="H32" s="19" t="s">
        <v>21</v>
      </c>
      <c r="I32" s="19" t="s">
        <v>20</v>
      </c>
      <c r="J32" s="19" t="s">
        <v>21</v>
      </c>
      <c r="K32" s="19" t="s">
        <v>20</v>
      </c>
      <c r="L32" s="3"/>
      <c r="M32" s="3"/>
      <c r="N32" s="39">
        <v>0.23</v>
      </c>
      <c r="O32" s="39">
        <v>0.34</v>
      </c>
      <c r="P32" s="3"/>
    </row>
    <row r="33" spans="1:16" ht="16.5" x14ac:dyDescent="0.35">
      <c r="A33" s="3"/>
      <c r="B33" s="225" t="s">
        <v>4</v>
      </c>
      <c r="C33" s="18" t="s">
        <v>29</v>
      </c>
      <c r="D33" s="7" t="e">
        <f t="shared" ref="D33:G36" si="2">D20*$N$32/100</f>
        <v>#REF!</v>
      </c>
      <c r="E33" s="7" t="e">
        <f t="shared" si="2"/>
        <v>#REF!</v>
      </c>
      <c r="F33" s="7" t="e">
        <f t="shared" si="2"/>
        <v>#REF!</v>
      </c>
      <c r="G33" s="7" t="e">
        <f t="shared" si="2"/>
        <v>#REF!</v>
      </c>
      <c r="H33" s="7" t="e">
        <f t="shared" ref="H33:I37" si="3">H20*$O$32/100</f>
        <v>#REF!</v>
      </c>
      <c r="I33" s="7" t="e">
        <f t="shared" si="3"/>
        <v>#REF!</v>
      </c>
      <c r="J33" s="227" t="e">
        <f>D33+D34+F33+F34+H33+H34</f>
        <v>#REF!</v>
      </c>
      <c r="K33" s="227" t="e">
        <f>E33+E34+G33+G34+I33+I34</f>
        <v>#REF!</v>
      </c>
      <c r="L33" s="3"/>
      <c r="M33" s="3"/>
      <c r="N33" s="17" t="s">
        <v>83</v>
      </c>
      <c r="O33" s="3"/>
      <c r="P33" s="3"/>
    </row>
    <row r="34" spans="1:16" x14ac:dyDescent="0.35">
      <c r="A34" s="3"/>
      <c r="B34" s="226"/>
      <c r="C34" s="19" t="s">
        <v>30</v>
      </c>
      <c r="D34" s="8" t="e">
        <f t="shared" si="2"/>
        <v>#REF!</v>
      </c>
      <c r="E34" s="9" t="e">
        <f t="shared" si="2"/>
        <v>#REF!</v>
      </c>
      <c r="F34" s="8" t="e">
        <f t="shared" si="2"/>
        <v>#REF!</v>
      </c>
      <c r="G34" s="8" t="e">
        <f t="shared" si="2"/>
        <v>#REF!</v>
      </c>
      <c r="H34" s="8" t="e">
        <f t="shared" si="3"/>
        <v>#REF!</v>
      </c>
      <c r="I34" s="8" t="e">
        <f t="shared" si="3"/>
        <v>#REF!</v>
      </c>
      <c r="J34" s="228"/>
      <c r="K34" s="228"/>
      <c r="L34" s="3"/>
      <c r="M34" s="3"/>
      <c r="N34" s="3"/>
      <c r="O34" s="3"/>
      <c r="P34" s="3"/>
    </row>
    <row r="35" spans="1:16" x14ac:dyDescent="0.35">
      <c r="A35" s="3"/>
      <c r="B35" s="225" t="s">
        <v>15</v>
      </c>
      <c r="C35" s="18" t="s">
        <v>29</v>
      </c>
      <c r="D35" s="7" t="e">
        <f t="shared" si="2"/>
        <v>#REF!</v>
      </c>
      <c r="E35" s="7" t="e">
        <f t="shared" si="2"/>
        <v>#REF!</v>
      </c>
      <c r="F35" s="7" t="e">
        <f t="shared" si="2"/>
        <v>#REF!</v>
      </c>
      <c r="G35" s="7" t="e">
        <f t="shared" si="2"/>
        <v>#REF!</v>
      </c>
      <c r="H35" s="7" t="e">
        <f t="shared" si="3"/>
        <v>#REF!</v>
      </c>
      <c r="I35" s="7" t="e">
        <f t="shared" si="3"/>
        <v>#REF!</v>
      </c>
      <c r="J35" s="227" t="e">
        <f>D35+D36+F35+F36+H35+H36</f>
        <v>#REF!</v>
      </c>
      <c r="K35" s="227" t="e">
        <f>E35+E36+G35+G36+I35+I36</f>
        <v>#REF!</v>
      </c>
      <c r="L35" s="3"/>
    </row>
    <row r="36" spans="1:16" x14ac:dyDescent="0.35">
      <c r="A36" s="3"/>
      <c r="B36" s="226"/>
      <c r="C36" s="19" t="s">
        <v>30</v>
      </c>
      <c r="D36" s="8" t="e">
        <f t="shared" si="2"/>
        <v>#REF!</v>
      </c>
      <c r="E36" s="9" t="e">
        <f t="shared" si="2"/>
        <v>#REF!</v>
      </c>
      <c r="F36" s="8" t="e">
        <f t="shared" si="2"/>
        <v>#REF!</v>
      </c>
      <c r="G36" s="8" t="e">
        <f t="shared" si="2"/>
        <v>#REF!</v>
      </c>
      <c r="H36" s="8" t="e">
        <f t="shared" si="3"/>
        <v>#REF!</v>
      </c>
      <c r="I36" s="8" t="e">
        <f t="shared" si="3"/>
        <v>#REF!</v>
      </c>
      <c r="J36" s="228"/>
      <c r="K36" s="228"/>
      <c r="L36" s="3"/>
    </row>
    <row r="37" spans="1:16" x14ac:dyDescent="0.35">
      <c r="A37" s="3"/>
      <c r="B37" s="224" t="s">
        <v>18</v>
      </c>
      <c r="C37" s="224"/>
      <c r="D37" s="10" t="e">
        <f>SUM(D33:D36)</f>
        <v>#REF!</v>
      </c>
      <c r="E37" s="10" t="e">
        <f>SUM(E33:E36)</f>
        <v>#REF!</v>
      </c>
      <c r="F37" s="10" t="e">
        <f>SUM(F33:F36)</f>
        <v>#REF!</v>
      </c>
      <c r="G37" s="10" t="e">
        <f>SUM(G33:G36)</f>
        <v>#REF!</v>
      </c>
      <c r="H37" s="10" t="e">
        <f t="shared" si="3"/>
        <v>#REF!</v>
      </c>
      <c r="I37" s="10" t="e">
        <f t="shared" si="3"/>
        <v>#REF!</v>
      </c>
      <c r="J37" s="14" t="e">
        <f>SUM(J33:J36)</f>
        <v>#REF!</v>
      </c>
      <c r="K37" s="14" t="e">
        <f>SUM(K33:K36)</f>
        <v>#REF!</v>
      </c>
      <c r="L37" s="16" t="e">
        <f>K37+J37</f>
        <v>#REF!</v>
      </c>
    </row>
    <row r="38" spans="1:16" x14ac:dyDescent="0.35">
      <c r="A38" s="3"/>
      <c r="B38" s="3"/>
      <c r="C38" s="3"/>
      <c r="D38" s="3"/>
      <c r="E38" s="3"/>
      <c r="F38" s="3"/>
      <c r="G38" s="3"/>
      <c r="H38" s="3"/>
      <c r="I38" s="3"/>
      <c r="J38" s="15" t="e">
        <f>J37/(J37+K37)</f>
        <v>#REF!</v>
      </c>
      <c r="K38" s="15" t="e">
        <f>K37/(K37+J37)</f>
        <v>#REF!</v>
      </c>
      <c r="L38" s="3"/>
    </row>
    <row r="39" spans="1:16" x14ac:dyDescent="0.35">
      <c r="A39" s="3"/>
      <c r="B39" s="3"/>
      <c r="C39" s="3"/>
      <c r="D39" s="3"/>
      <c r="E39" s="3"/>
      <c r="F39" s="3"/>
      <c r="G39" s="3"/>
      <c r="H39" s="3"/>
      <c r="I39" s="3"/>
      <c r="J39" s="11"/>
      <c r="K39" s="11"/>
      <c r="L39" s="3"/>
    </row>
  </sheetData>
  <mergeCells count="44">
    <mergeCell ref="B4:B6"/>
    <mergeCell ref="C4:C6"/>
    <mergeCell ref="E4:I4"/>
    <mergeCell ref="J4:K5"/>
    <mergeCell ref="D5:E5"/>
    <mergeCell ref="F5:G5"/>
    <mergeCell ref="H5:I5"/>
    <mergeCell ref="B9:B10"/>
    <mergeCell ref="J9:J10"/>
    <mergeCell ref="K9:K10"/>
    <mergeCell ref="B11:C11"/>
    <mergeCell ref="K7:K8"/>
    <mergeCell ref="B7:B8"/>
    <mergeCell ref="J7:J8"/>
    <mergeCell ref="B17:B19"/>
    <mergeCell ref="C17:C19"/>
    <mergeCell ref="E17:I17"/>
    <mergeCell ref="J17:K18"/>
    <mergeCell ref="D18:E18"/>
    <mergeCell ref="F18:G18"/>
    <mergeCell ref="H18:I18"/>
    <mergeCell ref="B20:B21"/>
    <mergeCell ref="J20:J21"/>
    <mergeCell ref="K20:K21"/>
    <mergeCell ref="B22:B23"/>
    <mergeCell ref="J22:J23"/>
    <mergeCell ref="K22:K23"/>
    <mergeCell ref="B24:C24"/>
    <mergeCell ref="B28:E28"/>
    <mergeCell ref="B30:B32"/>
    <mergeCell ref="C30:C32"/>
    <mergeCell ref="E30:I30"/>
    <mergeCell ref="D31:E31"/>
    <mergeCell ref="F31:G31"/>
    <mergeCell ref="H31:I31"/>
    <mergeCell ref="N30:O30"/>
    <mergeCell ref="B37:C37"/>
    <mergeCell ref="B33:B34"/>
    <mergeCell ref="J33:J34"/>
    <mergeCell ref="K33:K34"/>
    <mergeCell ref="B35:B36"/>
    <mergeCell ref="J35:J36"/>
    <mergeCell ref="K35:K36"/>
    <mergeCell ref="J30:K31"/>
  </mergeCells>
  <conditionalFormatting sqref="D7:I11">
    <cfRule type="cellIs" dxfId="5" priority="8" operator="equal">
      <formula>0</formula>
    </cfRule>
  </conditionalFormatting>
  <conditionalFormatting sqref="J11:K11">
    <cfRule type="cellIs" dxfId="4" priority="7" operator="equal">
      <formula>0</formula>
    </cfRule>
  </conditionalFormatting>
  <conditionalFormatting sqref="J24:K24">
    <cfRule type="cellIs" dxfId="3" priority="5" operator="equal">
      <formula>0</formula>
    </cfRule>
  </conditionalFormatting>
  <conditionalFormatting sqref="J37:K37">
    <cfRule type="cellIs" dxfId="2" priority="3" operator="equal">
      <formula>0</formula>
    </cfRule>
  </conditionalFormatting>
  <conditionalFormatting sqref="D20:I24">
    <cfRule type="cellIs" dxfId="1" priority="6" operator="equal">
      <formula>0</formula>
    </cfRule>
  </conditionalFormatting>
  <conditionalFormatting sqref="D33:I37">
    <cfRule type="cellIs" dxfId="0" priority="4" operator="equal">
      <formula>0</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76B4B-DEAD-45D1-9359-5D20F48B3E36}">
  <sheetPr>
    <tabColor theme="8" tint="-0.249977111117893"/>
  </sheetPr>
  <dimension ref="B3:L8"/>
  <sheetViews>
    <sheetView zoomScaleNormal="100" workbookViewId="0">
      <selection activeCell="F16" sqref="F16"/>
    </sheetView>
  </sheetViews>
  <sheetFormatPr baseColWidth="10" defaultColWidth="10.81640625" defaultRowHeight="14.5" x14ac:dyDescent="0.35"/>
  <cols>
    <col min="1" max="16384" width="10.81640625" style="112"/>
  </cols>
  <sheetData>
    <row r="3" spans="2:12" s="108" customFormat="1" x14ac:dyDescent="0.35">
      <c r="C3" s="297"/>
      <c r="D3" s="297"/>
      <c r="E3" s="109"/>
      <c r="F3" s="109"/>
      <c r="G3" s="109"/>
      <c r="H3" s="109"/>
      <c r="I3" s="109"/>
      <c r="J3" s="109"/>
      <c r="K3" s="109"/>
      <c r="L3" s="109"/>
    </row>
    <row r="4" spans="2:12" s="108" customFormat="1" ht="7.5" customHeight="1" x14ac:dyDescent="0.35">
      <c r="C4" s="109"/>
      <c r="D4" s="109"/>
      <c r="E4" s="109"/>
      <c r="F4" s="109"/>
      <c r="G4" s="109"/>
      <c r="H4" s="109"/>
      <c r="I4" s="109"/>
      <c r="J4" s="109"/>
      <c r="K4" s="109"/>
      <c r="L4" s="109"/>
    </row>
    <row r="5" spans="2:12" s="108" customFormat="1" x14ac:dyDescent="0.35">
      <c r="B5" s="113"/>
      <c r="C5" s="298" t="s">
        <v>5</v>
      </c>
      <c r="D5" s="298"/>
      <c r="E5" s="298"/>
      <c r="F5" s="298"/>
      <c r="G5" s="298"/>
      <c r="H5" s="298"/>
      <c r="I5" s="298"/>
      <c r="J5" s="298"/>
      <c r="K5" s="298"/>
      <c r="L5" s="109"/>
    </row>
    <row r="6" spans="2:12" s="108" customFormat="1" x14ac:dyDescent="0.35">
      <c r="B6" s="113"/>
      <c r="C6" s="110" t="s">
        <v>19</v>
      </c>
      <c r="D6" s="110" t="s">
        <v>7</v>
      </c>
      <c r="E6" s="110" t="s">
        <v>8</v>
      </c>
      <c r="F6" s="110" t="s">
        <v>9</v>
      </c>
      <c r="G6" s="110" t="s">
        <v>11</v>
      </c>
      <c r="H6" s="110" t="s">
        <v>6</v>
      </c>
      <c r="I6" s="110" t="s">
        <v>12</v>
      </c>
      <c r="J6" s="110" t="s">
        <v>13</v>
      </c>
      <c r="K6" s="110" t="s">
        <v>10</v>
      </c>
      <c r="L6" s="109"/>
    </row>
    <row r="7" spans="2:12" s="108" customFormat="1" x14ac:dyDescent="0.35">
      <c r="B7" s="114" t="s">
        <v>79</v>
      </c>
      <c r="C7" s="111" t="e">
        <f>#REF!-'[1]Reparto operadores'!D40</f>
        <v>#REF!</v>
      </c>
      <c r="D7" s="111" t="e">
        <f>#REF!-'[1]Reparto operadores'!E40</f>
        <v>#REF!</v>
      </c>
      <c r="E7" s="111" t="e">
        <f>#REF!-'[1]Reparto operadores'!F40</f>
        <v>#REF!</v>
      </c>
      <c r="F7" s="111" t="e">
        <f>#REF!-'[1]Reparto operadores'!G40</f>
        <v>#REF!</v>
      </c>
      <c r="G7" s="111" t="e">
        <f>#REF!-'[1]Reparto operadores'!H40</f>
        <v>#REF!</v>
      </c>
      <c r="H7" s="111" t="e">
        <f>#REF!-'[1]Reparto operadores'!I40</f>
        <v>#REF!</v>
      </c>
      <c r="I7" s="111" t="e">
        <f>#REF!-'[1]Reparto operadores'!J40</f>
        <v>#REF!</v>
      </c>
      <c r="J7" s="111" t="e">
        <f>#REF!-'[1]Reparto operadores'!K40</f>
        <v>#REF!</v>
      </c>
      <c r="K7" s="111" t="e">
        <f>#REF!-'[1]Reparto operadores'!L40</f>
        <v>#REF!</v>
      </c>
      <c r="L7" s="109"/>
    </row>
    <row r="8" spans="2:12" x14ac:dyDescent="0.35">
      <c r="B8" s="115" t="s">
        <v>80</v>
      </c>
      <c r="C8" s="111" t="e">
        <f>#REF!-'[1]Reparto operadores'!D54</f>
        <v>#REF!</v>
      </c>
      <c r="D8" s="111" t="e">
        <f>#REF!-'[1]Reparto operadores'!E54</f>
        <v>#REF!</v>
      </c>
      <c r="E8" s="111" t="e">
        <f>#REF!-'[1]Reparto operadores'!F54</f>
        <v>#REF!</v>
      </c>
      <c r="F8" s="111" t="e">
        <f>#REF!-'[1]Reparto operadores'!G54</f>
        <v>#REF!</v>
      </c>
      <c r="G8" s="111" t="e">
        <f>#REF!-'[1]Reparto operadores'!H54</f>
        <v>#REF!</v>
      </c>
      <c r="H8" s="111" t="e">
        <f>#REF!-'[1]Reparto operadores'!I54</f>
        <v>#REF!</v>
      </c>
      <c r="I8" s="111" t="e">
        <f>#REF!-'[1]Reparto operadores'!J54</f>
        <v>#REF!</v>
      </c>
      <c r="J8" s="111" t="e">
        <f>#REF!-'[1]Reparto operadores'!K54</f>
        <v>#REF!</v>
      </c>
      <c r="K8" s="111" t="e">
        <f>#REF!-'[1]Reparto operadores'!L54</f>
        <v>#REF!</v>
      </c>
    </row>
  </sheetData>
  <mergeCells count="2">
    <mergeCell ref="C3:D3"/>
    <mergeCell ref="C5:K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82801-3454-40B1-843C-4AD377D57CCB}">
  <sheetPr>
    <tabColor theme="0" tint="-4.9989318521683403E-2"/>
  </sheetPr>
  <dimension ref="B3:O53"/>
  <sheetViews>
    <sheetView zoomScale="75" workbookViewId="0">
      <selection activeCell="E14" sqref="E14"/>
    </sheetView>
  </sheetViews>
  <sheetFormatPr baseColWidth="10" defaultColWidth="11.453125" defaultRowHeight="14.5" x14ac:dyDescent="0.35"/>
  <cols>
    <col min="3" max="3" width="21.54296875" bestFit="1" customWidth="1"/>
    <col min="4" max="4" width="21.54296875" customWidth="1"/>
    <col min="5" max="5" width="10.81640625" style="21"/>
    <col min="7" max="9" width="12.453125" customWidth="1"/>
    <col min="12" max="12" width="5.1796875" customWidth="1"/>
    <col min="13" max="13" width="14.81640625" customWidth="1"/>
  </cols>
  <sheetData>
    <row r="3" spans="2:15" x14ac:dyDescent="0.35">
      <c r="B3" s="29" t="s">
        <v>63</v>
      </c>
      <c r="C3" s="29" t="s">
        <v>62</v>
      </c>
      <c r="D3" s="29" t="s">
        <v>64</v>
      </c>
      <c r="E3" s="30" t="s">
        <v>65</v>
      </c>
      <c r="F3" s="29" t="s">
        <v>61</v>
      </c>
      <c r="G3" s="29" t="s">
        <v>5</v>
      </c>
      <c r="H3" s="29" t="s">
        <v>47</v>
      </c>
      <c r="I3" s="29" t="s">
        <v>17</v>
      </c>
      <c r="J3" s="29" t="s">
        <v>41</v>
      </c>
      <c r="K3" s="29" t="s">
        <v>60</v>
      </c>
      <c r="M3" s="33" t="s">
        <v>81</v>
      </c>
      <c r="N3" s="33" t="s">
        <v>66</v>
      </c>
      <c r="O3" s="22" t="s">
        <v>77</v>
      </c>
    </row>
    <row r="4" spans="2:15" x14ac:dyDescent="0.35">
      <c r="B4" s="27" t="s">
        <v>34</v>
      </c>
      <c r="C4" s="27" t="s">
        <v>33</v>
      </c>
      <c r="D4" s="27">
        <v>2018</v>
      </c>
      <c r="E4" s="28">
        <v>15.569999999999993</v>
      </c>
      <c r="F4" s="27" t="s">
        <v>37</v>
      </c>
      <c r="G4" s="27" t="s">
        <v>19</v>
      </c>
      <c r="H4" s="27" t="s">
        <v>50</v>
      </c>
      <c r="I4" s="27" t="s">
        <v>53</v>
      </c>
      <c r="J4" s="27" t="s">
        <v>53</v>
      </c>
      <c r="K4" s="27"/>
    </row>
    <row r="5" spans="2:15" x14ac:dyDescent="0.35">
      <c r="B5" s="23" t="s">
        <v>34</v>
      </c>
      <c r="C5" s="23" t="s">
        <v>33</v>
      </c>
      <c r="D5" s="23">
        <v>2018</v>
      </c>
      <c r="E5" s="24">
        <v>11.82</v>
      </c>
      <c r="F5" s="23" t="s">
        <v>37</v>
      </c>
      <c r="G5" s="23" t="s">
        <v>19</v>
      </c>
      <c r="H5" s="23" t="s">
        <v>48</v>
      </c>
      <c r="I5" s="23" t="s">
        <v>53</v>
      </c>
      <c r="J5" s="23" t="s">
        <v>53</v>
      </c>
      <c r="K5" s="23"/>
      <c r="L5" s="32">
        <f>E5/E4</f>
        <v>0.759152215799615</v>
      </c>
      <c r="M5" s="31" t="e">
        <f>#REF!/#REF!</f>
        <v>#REF!</v>
      </c>
      <c r="N5" s="34" t="e">
        <f>L5-M5</f>
        <v>#REF!</v>
      </c>
      <c r="O5" t="s">
        <v>67</v>
      </c>
    </row>
    <row r="6" spans="2:15" x14ac:dyDescent="0.35">
      <c r="B6" s="23" t="s">
        <v>34</v>
      </c>
      <c r="C6" s="23" t="s">
        <v>33</v>
      </c>
      <c r="D6" s="23">
        <v>2018</v>
      </c>
      <c r="E6" s="24">
        <f>E4-E5</f>
        <v>3.7499999999999929</v>
      </c>
      <c r="F6" s="23" t="s">
        <v>37</v>
      </c>
      <c r="G6" s="23" t="s">
        <v>19</v>
      </c>
      <c r="H6" s="23" t="s">
        <v>49</v>
      </c>
      <c r="I6" s="23" t="s">
        <v>53</v>
      </c>
      <c r="J6" s="23" t="s">
        <v>53</v>
      </c>
      <c r="K6" s="23"/>
      <c r="L6" s="32">
        <f>E6/E4</f>
        <v>0.240847784200385</v>
      </c>
      <c r="M6" s="31" t="e">
        <f>(#REF!/#REF!)</f>
        <v>#REF!</v>
      </c>
      <c r="N6" s="34" t="e">
        <f>L6-M6</f>
        <v>#REF!</v>
      </c>
      <c r="O6" t="s">
        <v>67</v>
      </c>
    </row>
    <row r="7" spans="2:15" x14ac:dyDescent="0.35">
      <c r="B7" s="23" t="s">
        <v>35</v>
      </c>
      <c r="C7" s="23" t="s">
        <v>36</v>
      </c>
      <c r="D7" s="23">
        <v>2018</v>
      </c>
      <c r="E7" s="24">
        <v>28.26</v>
      </c>
      <c r="F7" s="23" t="s">
        <v>38</v>
      </c>
      <c r="G7" s="23" t="s">
        <v>40</v>
      </c>
      <c r="H7" s="23" t="s">
        <v>50</v>
      </c>
      <c r="I7" s="23" t="s">
        <v>53</v>
      </c>
      <c r="J7" s="23" t="s">
        <v>53</v>
      </c>
      <c r="K7" s="23"/>
      <c r="M7" s="21"/>
      <c r="N7" s="21"/>
    </row>
    <row r="8" spans="2:15" x14ac:dyDescent="0.35">
      <c r="B8" s="23" t="s">
        <v>35</v>
      </c>
      <c r="C8" s="23" t="s">
        <v>36</v>
      </c>
      <c r="D8" s="23">
        <v>2018</v>
      </c>
      <c r="E8" s="24">
        <v>10792</v>
      </c>
      <c r="F8" s="23" t="s">
        <v>39</v>
      </c>
      <c r="G8" s="23" t="s">
        <v>40</v>
      </c>
      <c r="H8" s="23" t="s">
        <v>50</v>
      </c>
      <c r="I8" s="23" t="s">
        <v>53</v>
      </c>
      <c r="J8" s="23" t="s">
        <v>53</v>
      </c>
      <c r="K8" s="23"/>
      <c r="M8" s="21"/>
      <c r="N8" s="21"/>
    </row>
    <row r="9" spans="2:15" x14ac:dyDescent="0.35">
      <c r="B9" s="23" t="s">
        <v>35</v>
      </c>
      <c r="C9" s="23" t="s">
        <v>36</v>
      </c>
      <c r="D9" s="23">
        <v>2018</v>
      </c>
      <c r="E9" s="24">
        <v>16.95</v>
      </c>
      <c r="F9" s="23" t="s">
        <v>51</v>
      </c>
      <c r="G9" s="23" t="s">
        <v>19</v>
      </c>
      <c r="H9" s="23" t="s">
        <v>50</v>
      </c>
      <c r="I9" s="23" t="s">
        <v>53</v>
      </c>
      <c r="J9" s="23" t="s">
        <v>42</v>
      </c>
      <c r="K9" s="23"/>
      <c r="M9" s="21">
        <v>14.1</v>
      </c>
      <c r="N9" s="21">
        <f>E9-M9</f>
        <v>2.8499999999999996</v>
      </c>
      <c r="O9" t="s">
        <v>68</v>
      </c>
    </row>
    <row r="10" spans="2:15" x14ac:dyDescent="0.35">
      <c r="B10" s="23" t="s">
        <v>35</v>
      </c>
      <c r="C10" s="23" t="s">
        <v>36</v>
      </c>
      <c r="D10" s="23">
        <v>2018</v>
      </c>
      <c r="E10" s="24">
        <v>6179</v>
      </c>
      <c r="F10" s="23" t="s">
        <v>39</v>
      </c>
      <c r="G10" s="23" t="s">
        <v>19</v>
      </c>
      <c r="H10" s="23" t="s">
        <v>50</v>
      </c>
      <c r="I10" s="23" t="s">
        <v>53</v>
      </c>
      <c r="J10" s="23" t="s">
        <v>42</v>
      </c>
      <c r="K10" s="23"/>
      <c r="M10" s="21">
        <v>6071</v>
      </c>
      <c r="N10" s="21">
        <f>E10-M10</f>
        <v>108</v>
      </c>
      <c r="O10" t="s">
        <v>68</v>
      </c>
    </row>
    <row r="11" spans="2:15" x14ac:dyDescent="0.35">
      <c r="B11" s="23" t="s">
        <v>35</v>
      </c>
      <c r="C11" s="23" t="s">
        <v>36</v>
      </c>
      <c r="D11" s="23">
        <v>2018</v>
      </c>
      <c r="E11" s="24">
        <v>1.37</v>
      </c>
      <c r="F11" s="23" t="s">
        <v>38</v>
      </c>
      <c r="G11" s="23" t="s">
        <v>44</v>
      </c>
      <c r="H11" s="23" t="s">
        <v>50</v>
      </c>
      <c r="I11" s="23" t="s">
        <v>53</v>
      </c>
      <c r="J11" s="23" t="s">
        <v>43</v>
      </c>
      <c r="K11" s="23"/>
      <c r="M11" s="21"/>
      <c r="N11" s="21"/>
    </row>
    <row r="12" spans="2:15" x14ac:dyDescent="0.35">
      <c r="B12" s="23" t="s">
        <v>35</v>
      </c>
      <c r="C12" s="23" t="s">
        <v>36</v>
      </c>
      <c r="D12" s="23">
        <v>2018</v>
      </c>
      <c r="E12" s="24">
        <v>145</v>
      </c>
      <c r="F12" s="23" t="s">
        <v>39</v>
      </c>
      <c r="G12" s="23" t="s">
        <v>44</v>
      </c>
      <c r="H12" s="23" t="s">
        <v>50</v>
      </c>
      <c r="I12" s="23" t="s">
        <v>53</v>
      </c>
      <c r="J12" s="23" t="s">
        <v>43</v>
      </c>
      <c r="K12" s="23"/>
      <c r="M12" s="21"/>
      <c r="N12" s="21"/>
    </row>
    <row r="13" spans="2:15" x14ac:dyDescent="0.35">
      <c r="B13" s="23" t="s">
        <v>35</v>
      </c>
      <c r="C13" s="23" t="s">
        <v>36</v>
      </c>
      <c r="D13" s="23">
        <v>2018</v>
      </c>
      <c r="E13" s="24">
        <v>9.3800000000000008</v>
      </c>
      <c r="F13" s="23" t="s">
        <v>38</v>
      </c>
      <c r="G13" s="23" t="s">
        <v>45</v>
      </c>
      <c r="H13" s="23" t="s">
        <v>50</v>
      </c>
      <c r="I13" s="23" t="s">
        <v>53</v>
      </c>
      <c r="J13" s="23" t="s">
        <v>42</v>
      </c>
      <c r="K13" s="23"/>
      <c r="M13" s="21">
        <v>8.3000000000000007</v>
      </c>
      <c r="N13" s="21">
        <f>E13-M13</f>
        <v>1.08</v>
      </c>
      <c r="O13" t="s">
        <v>69</v>
      </c>
    </row>
    <row r="14" spans="2:15" x14ac:dyDescent="0.35">
      <c r="B14" s="23" t="s">
        <v>35</v>
      </c>
      <c r="C14" s="23" t="s">
        <v>36</v>
      </c>
      <c r="D14" s="23">
        <v>2018</v>
      </c>
      <c r="E14" s="24">
        <v>4429</v>
      </c>
      <c r="F14" s="23" t="s">
        <v>39</v>
      </c>
      <c r="G14" s="23" t="s">
        <v>45</v>
      </c>
      <c r="H14" s="23" t="s">
        <v>50</v>
      </c>
      <c r="I14" s="23" t="s">
        <v>53</v>
      </c>
      <c r="J14" s="23" t="s">
        <v>42</v>
      </c>
      <c r="K14" s="23"/>
      <c r="M14" s="21"/>
      <c r="N14" s="21"/>
    </row>
    <row r="15" spans="2:15" x14ac:dyDescent="0.35">
      <c r="B15" s="23" t="s">
        <v>46</v>
      </c>
      <c r="C15" s="23" t="s">
        <v>36</v>
      </c>
      <c r="D15" s="23">
        <v>2018</v>
      </c>
      <c r="E15" s="24">
        <v>14.157</v>
      </c>
      <c r="F15" s="23" t="s">
        <v>51</v>
      </c>
      <c r="G15" s="23" t="s">
        <v>19</v>
      </c>
      <c r="H15" s="23" t="s">
        <v>50</v>
      </c>
      <c r="I15" s="23" t="s">
        <v>52</v>
      </c>
      <c r="J15" s="23" t="s">
        <v>42</v>
      </c>
      <c r="K15" s="23"/>
      <c r="M15" s="21">
        <v>10.8</v>
      </c>
      <c r="N15" s="21">
        <f t="shared" ref="N15:N26" si="0">E15-M15</f>
        <v>3.3569999999999993</v>
      </c>
      <c r="O15" t="s">
        <v>68</v>
      </c>
    </row>
    <row r="16" spans="2:15" x14ac:dyDescent="0.35">
      <c r="B16" s="23" t="s">
        <v>46</v>
      </c>
      <c r="C16" s="23" t="s">
        <v>36</v>
      </c>
      <c r="D16" s="23">
        <v>2018</v>
      </c>
      <c r="E16" s="24">
        <v>2.7890000000000001</v>
      </c>
      <c r="F16" s="23" t="s">
        <v>51</v>
      </c>
      <c r="G16" s="23" t="s">
        <v>19</v>
      </c>
      <c r="H16" s="23" t="s">
        <v>50</v>
      </c>
      <c r="I16" s="23" t="s">
        <v>54</v>
      </c>
      <c r="J16" s="23" t="s">
        <v>42</v>
      </c>
      <c r="K16" s="23"/>
      <c r="M16" s="21">
        <v>3.3</v>
      </c>
      <c r="N16" s="21">
        <f t="shared" si="0"/>
        <v>-0.51099999999999968</v>
      </c>
      <c r="O16" t="s">
        <v>67</v>
      </c>
    </row>
    <row r="17" spans="2:15" x14ac:dyDescent="0.35">
      <c r="B17" s="23" t="s">
        <v>46</v>
      </c>
      <c r="C17" s="23" t="s">
        <v>36</v>
      </c>
      <c r="D17" s="23">
        <v>2018</v>
      </c>
      <c r="E17" s="24">
        <f>0.53+3.796</f>
        <v>4.3259999999999996</v>
      </c>
      <c r="F17" s="23" t="s">
        <v>51</v>
      </c>
      <c r="G17" s="23" t="s">
        <v>19</v>
      </c>
      <c r="H17" s="23" t="s">
        <v>50</v>
      </c>
      <c r="I17" s="23" t="s">
        <v>52</v>
      </c>
      <c r="J17" s="23" t="s">
        <v>42</v>
      </c>
      <c r="K17" s="23" t="s">
        <v>16</v>
      </c>
      <c r="M17" s="21" t="e">
        <f>(#REF!+#REF!)/1000000</f>
        <v>#REF!</v>
      </c>
      <c r="N17" s="21" t="e">
        <f t="shared" si="0"/>
        <v>#REF!</v>
      </c>
      <c r="O17" t="s">
        <v>67</v>
      </c>
    </row>
    <row r="18" spans="2:15" x14ac:dyDescent="0.35">
      <c r="B18" s="23" t="s">
        <v>46</v>
      </c>
      <c r="C18" s="23" t="s">
        <v>36</v>
      </c>
      <c r="D18" s="23">
        <v>2018</v>
      </c>
      <c r="E18" s="24">
        <f>0.536+1.872</f>
        <v>2.4080000000000004</v>
      </c>
      <c r="F18" s="23" t="s">
        <v>51</v>
      </c>
      <c r="G18" s="23" t="s">
        <v>19</v>
      </c>
      <c r="H18" s="23" t="s">
        <v>50</v>
      </c>
      <c r="I18" s="23" t="s">
        <v>54</v>
      </c>
      <c r="J18" s="23" t="s">
        <v>42</v>
      </c>
      <c r="K18" s="23" t="s">
        <v>16</v>
      </c>
      <c r="M18" s="21" t="e">
        <f>(#REF!+#REF!)/1000000</f>
        <v>#REF!</v>
      </c>
      <c r="N18" s="21" t="e">
        <f t="shared" si="0"/>
        <v>#REF!</v>
      </c>
      <c r="O18" t="s">
        <v>71</v>
      </c>
    </row>
    <row r="19" spans="2:15" x14ac:dyDescent="0.35">
      <c r="B19" s="23" t="s">
        <v>46</v>
      </c>
      <c r="C19" s="23" t="s">
        <v>36</v>
      </c>
      <c r="D19" s="23">
        <v>2018</v>
      </c>
      <c r="E19" s="24">
        <f>E15-E17</f>
        <v>9.8309999999999995</v>
      </c>
      <c r="F19" s="23" t="s">
        <v>51</v>
      </c>
      <c r="G19" s="23" t="s">
        <v>19</v>
      </c>
      <c r="H19" s="23" t="s">
        <v>50</v>
      </c>
      <c r="I19" s="23" t="s">
        <v>52</v>
      </c>
      <c r="J19" s="23" t="s">
        <v>42</v>
      </c>
      <c r="K19" s="23" t="s">
        <v>26</v>
      </c>
      <c r="M19" s="21" t="e">
        <f>(#REF!+#REF!)/1000000</f>
        <v>#REF!</v>
      </c>
      <c r="N19" s="21" t="e">
        <f t="shared" si="0"/>
        <v>#REF!</v>
      </c>
      <c r="O19" t="s">
        <v>68</v>
      </c>
    </row>
    <row r="20" spans="2:15" x14ac:dyDescent="0.35">
      <c r="B20" s="23" t="s">
        <v>46</v>
      </c>
      <c r="C20" s="23" t="s">
        <v>36</v>
      </c>
      <c r="D20" s="23">
        <v>2018</v>
      </c>
      <c r="E20" s="24">
        <f>E16-E18</f>
        <v>0.38099999999999978</v>
      </c>
      <c r="F20" s="23" t="s">
        <v>51</v>
      </c>
      <c r="G20" s="23" t="s">
        <v>19</v>
      </c>
      <c r="H20" s="23" t="s">
        <v>50</v>
      </c>
      <c r="I20" s="23" t="s">
        <v>54</v>
      </c>
      <c r="J20" s="23" t="s">
        <v>42</v>
      </c>
      <c r="K20" s="23" t="s">
        <v>26</v>
      </c>
      <c r="M20" s="21" t="e">
        <f>(#REF!+#REF!)/1000000</f>
        <v>#REF!</v>
      </c>
      <c r="N20" s="21" t="e">
        <f t="shared" si="0"/>
        <v>#REF!</v>
      </c>
      <c r="O20" t="s">
        <v>72</v>
      </c>
    </row>
    <row r="21" spans="2:15" x14ac:dyDescent="0.35">
      <c r="B21" s="23" t="s">
        <v>55</v>
      </c>
      <c r="C21" s="23" t="s">
        <v>36</v>
      </c>
      <c r="D21" s="23">
        <v>2018</v>
      </c>
      <c r="E21" s="24">
        <f>3737+1465</f>
        <v>5202</v>
      </c>
      <c r="F21" s="23" t="s">
        <v>39</v>
      </c>
      <c r="G21" s="23" t="s">
        <v>19</v>
      </c>
      <c r="H21" s="23" t="s">
        <v>50</v>
      </c>
      <c r="I21" s="23" t="s">
        <v>52</v>
      </c>
      <c r="J21" s="23" t="s">
        <v>42</v>
      </c>
      <c r="K21" s="23"/>
      <c r="M21" s="21">
        <v>4913</v>
      </c>
      <c r="N21" s="21">
        <f t="shared" si="0"/>
        <v>289</v>
      </c>
      <c r="O21" t="s">
        <v>68</v>
      </c>
    </row>
    <row r="22" spans="2:15" x14ac:dyDescent="0.35">
      <c r="B22" s="23" t="s">
        <v>55</v>
      </c>
      <c r="C22" s="23" t="s">
        <v>36</v>
      </c>
      <c r="D22" s="23">
        <v>2018</v>
      </c>
      <c r="E22" s="24">
        <f>406+571</f>
        <v>977</v>
      </c>
      <c r="F22" s="23" t="s">
        <v>39</v>
      </c>
      <c r="G22" s="23" t="s">
        <v>19</v>
      </c>
      <c r="H22" s="23" t="s">
        <v>50</v>
      </c>
      <c r="I22" s="23" t="s">
        <v>54</v>
      </c>
      <c r="J22" s="23" t="s">
        <v>42</v>
      </c>
      <c r="K22" s="23"/>
      <c r="M22" s="21">
        <v>1158</v>
      </c>
      <c r="N22" s="21">
        <f t="shared" si="0"/>
        <v>-181</v>
      </c>
      <c r="O22" t="s">
        <v>70</v>
      </c>
    </row>
    <row r="23" spans="2:15" x14ac:dyDescent="0.35">
      <c r="B23" s="23" t="s">
        <v>55</v>
      </c>
      <c r="C23" s="23" t="s">
        <v>36</v>
      </c>
      <c r="D23" s="23">
        <v>2018</v>
      </c>
      <c r="E23" s="24">
        <f>300+1465</f>
        <v>1765</v>
      </c>
      <c r="F23" s="23" t="s">
        <v>39</v>
      </c>
      <c r="G23" s="23" t="s">
        <v>19</v>
      </c>
      <c r="H23" s="23" t="s">
        <v>50</v>
      </c>
      <c r="I23" s="23" t="s">
        <v>52</v>
      </c>
      <c r="J23" s="23" t="s">
        <v>42</v>
      </c>
      <c r="K23" s="23" t="s">
        <v>16</v>
      </c>
      <c r="M23" s="21" t="e">
        <f>(#REF!+#REF!)/1000000</f>
        <v>#REF!</v>
      </c>
      <c r="N23" s="21" t="e">
        <f t="shared" si="0"/>
        <v>#REF!</v>
      </c>
    </row>
    <row r="24" spans="2:15" x14ac:dyDescent="0.35">
      <c r="B24" s="23" t="s">
        <v>55</v>
      </c>
      <c r="C24" s="23" t="s">
        <v>36</v>
      </c>
      <c r="D24" s="23">
        <v>2018</v>
      </c>
      <c r="E24" s="24">
        <f>262+571</f>
        <v>833</v>
      </c>
      <c r="F24" s="23" t="s">
        <v>39</v>
      </c>
      <c r="G24" s="23" t="s">
        <v>19</v>
      </c>
      <c r="H24" s="23" t="s">
        <v>50</v>
      </c>
      <c r="I24" s="23" t="s">
        <v>54</v>
      </c>
      <c r="J24" s="23" t="s">
        <v>42</v>
      </c>
      <c r="K24" s="23" t="s">
        <v>16</v>
      </c>
      <c r="M24" s="21" t="e">
        <f>(#REF!+#REF!)/1000000</f>
        <v>#REF!</v>
      </c>
      <c r="N24" s="21" t="e">
        <f t="shared" si="0"/>
        <v>#REF!</v>
      </c>
      <c r="O24" t="s">
        <v>70</v>
      </c>
    </row>
    <row r="25" spans="2:15" x14ac:dyDescent="0.35">
      <c r="B25" s="23" t="s">
        <v>55</v>
      </c>
      <c r="C25" s="23" t="s">
        <v>36</v>
      </c>
      <c r="D25" s="23">
        <v>2018</v>
      </c>
      <c r="E25" s="24">
        <f>E21-E23</f>
        <v>3437</v>
      </c>
      <c r="F25" s="23" t="s">
        <v>39</v>
      </c>
      <c r="G25" s="23" t="s">
        <v>19</v>
      </c>
      <c r="H25" s="23" t="s">
        <v>50</v>
      </c>
      <c r="I25" s="23" t="s">
        <v>52</v>
      </c>
      <c r="J25" s="23" t="s">
        <v>42</v>
      </c>
      <c r="K25" s="23" t="s">
        <v>26</v>
      </c>
      <c r="M25" s="21" t="e">
        <f>(#REF!+#REF!)/1000000</f>
        <v>#REF!</v>
      </c>
      <c r="N25" s="21" t="e">
        <f t="shared" si="0"/>
        <v>#REF!</v>
      </c>
      <c r="O25" t="s">
        <v>68</v>
      </c>
    </row>
    <row r="26" spans="2:15" x14ac:dyDescent="0.35">
      <c r="B26" s="23" t="s">
        <v>55</v>
      </c>
      <c r="C26" s="23" t="s">
        <v>36</v>
      </c>
      <c r="D26" s="23">
        <v>2018</v>
      </c>
      <c r="E26" s="24">
        <f>E22-E24</f>
        <v>144</v>
      </c>
      <c r="F26" s="23" t="s">
        <v>39</v>
      </c>
      <c r="G26" s="23" t="s">
        <v>19</v>
      </c>
      <c r="H26" s="23" t="s">
        <v>50</v>
      </c>
      <c r="I26" s="23" t="s">
        <v>54</v>
      </c>
      <c r="J26" s="23" t="s">
        <v>42</v>
      </c>
      <c r="K26" s="23" t="s">
        <v>26</v>
      </c>
      <c r="M26" s="21" t="e">
        <f>(#REF!+#REF!)/1000000</f>
        <v>#REF!</v>
      </c>
      <c r="N26" s="21" t="e">
        <f t="shared" si="0"/>
        <v>#REF!</v>
      </c>
      <c r="O26" t="s">
        <v>70</v>
      </c>
    </row>
    <row r="27" spans="2:15" x14ac:dyDescent="0.35">
      <c r="B27" s="23" t="s">
        <v>56</v>
      </c>
      <c r="C27" s="23" t="s">
        <v>57</v>
      </c>
      <c r="D27" s="23">
        <v>2018</v>
      </c>
      <c r="E27" s="24">
        <v>40.619999999999997</v>
      </c>
      <c r="F27" s="23" t="s">
        <v>58</v>
      </c>
      <c r="G27" s="23" t="s">
        <v>19</v>
      </c>
      <c r="H27" s="23" t="s">
        <v>50</v>
      </c>
      <c r="I27" s="23" t="s">
        <v>53</v>
      </c>
      <c r="J27" s="23" t="s">
        <v>42</v>
      </c>
      <c r="K27" s="23" t="s">
        <v>53</v>
      </c>
      <c r="M27" s="21"/>
      <c r="N27" s="21"/>
    </row>
    <row r="28" spans="2:15" x14ac:dyDescent="0.35">
      <c r="B28" s="25" t="s">
        <v>56</v>
      </c>
      <c r="C28" s="25" t="s">
        <v>57</v>
      </c>
      <c r="D28" s="25">
        <v>2018</v>
      </c>
      <c r="E28" s="26">
        <v>44.15</v>
      </c>
      <c r="F28" s="25" t="s">
        <v>58</v>
      </c>
      <c r="G28" s="25" t="s">
        <v>19</v>
      </c>
      <c r="H28" s="25" t="s">
        <v>50</v>
      </c>
      <c r="I28" s="25" t="s">
        <v>53</v>
      </c>
      <c r="J28" s="25" t="s">
        <v>42</v>
      </c>
      <c r="K28" s="25" t="s">
        <v>59</v>
      </c>
      <c r="M28" s="21" t="s">
        <v>78</v>
      </c>
      <c r="N28" s="21"/>
    </row>
    <row r="29" spans="2:15" x14ac:dyDescent="0.35">
      <c r="B29" s="27" t="s">
        <v>34</v>
      </c>
      <c r="C29" s="27" t="s">
        <v>33</v>
      </c>
      <c r="D29" s="27">
        <v>2017</v>
      </c>
      <c r="E29" s="28">
        <f>63.7-47.81</f>
        <v>15.89</v>
      </c>
      <c r="F29" s="27" t="s">
        <v>37</v>
      </c>
      <c r="G29" s="27" t="s">
        <v>19</v>
      </c>
      <c r="H29" s="27" t="s">
        <v>50</v>
      </c>
      <c r="I29" s="27" t="s">
        <v>53</v>
      </c>
      <c r="J29" s="27" t="s">
        <v>53</v>
      </c>
      <c r="K29" s="27"/>
      <c r="M29" s="21"/>
      <c r="N29" s="21"/>
    </row>
    <row r="30" spans="2:15" x14ac:dyDescent="0.35">
      <c r="B30" s="23" t="s">
        <v>34</v>
      </c>
      <c r="C30" s="23" t="s">
        <v>33</v>
      </c>
      <c r="D30" s="23">
        <v>2017</v>
      </c>
      <c r="E30" s="24">
        <f>55.89-43.6</f>
        <v>12.29</v>
      </c>
      <c r="F30" s="23" t="s">
        <v>37</v>
      </c>
      <c r="G30" s="23" t="s">
        <v>19</v>
      </c>
      <c r="H30" s="23" t="s">
        <v>48</v>
      </c>
      <c r="I30" s="23" t="s">
        <v>53</v>
      </c>
      <c r="J30" s="23" t="s">
        <v>53</v>
      </c>
      <c r="K30" s="23"/>
      <c r="L30" s="32">
        <f>E30/E29</f>
        <v>0.77344241661422275</v>
      </c>
      <c r="M30" s="31" t="e">
        <f>#REF!/#REF!</f>
        <v>#REF!</v>
      </c>
      <c r="N30" s="34" t="e">
        <f>L30-M30</f>
        <v>#REF!</v>
      </c>
      <c r="O30" t="s">
        <v>67</v>
      </c>
    </row>
    <row r="31" spans="2:15" x14ac:dyDescent="0.35">
      <c r="B31" s="23" t="s">
        <v>34</v>
      </c>
      <c r="C31" s="23" t="s">
        <v>33</v>
      </c>
      <c r="D31" s="23">
        <v>2017</v>
      </c>
      <c r="E31" s="24">
        <f>E29-E30</f>
        <v>3.6000000000000014</v>
      </c>
      <c r="F31" s="23" t="s">
        <v>37</v>
      </c>
      <c r="G31" s="23" t="s">
        <v>19</v>
      </c>
      <c r="H31" s="23" t="s">
        <v>49</v>
      </c>
      <c r="I31" s="23" t="s">
        <v>53</v>
      </c>
      <c r="J31" s="23" t="s">
        <v>53</v>
      </c>
      <c r="K31" s="23"/>
      <c r="L31" s="32">
        <f>E31/E29</f>
        <v>0.22655758338577731</v>
      </c>
      <c r="M31" s="31" t="e">
        <f>(#REF!/#REF!)</f>
        <v>#REF!</v>
      </c>
      <c r="N31" s="34" t="e">
        <f>L31-M31</f>
        <v>#REF!</v>
      </c>
      <c r="O31" t="s">
        <v>67</v>
      </c>
    </row>
    <row r="32" spans="2:15" x14ac:dyDescent="0.35">
      <c r="B32" s="23" t="s">
        <v>35</v>
      </c>
      <c r="C32" s="23" t="s">
        <v>36</v>
      </c>
      <c r="D32" s="23">
        <v>2017</v>
      </c>
      <c r="E32" s="24">
        <v>28.31</v>
      </c>
      <c r="F32" s="23" t="s">
        <v>38</v>
      </c>
      <c r="G32" s="23" t="s">
        <v>40</v>
      </c>
      <c r="H32" s="23" t="s">
        <v>50</v>
      </c>
      <c r="I32" s="23" t="s">
        <v>53</v>
      </c>
      <c r="J32" s="23" t="s">
        <v>53</v>
      </c>
      <c r="K32" s="23"/>
      <c r="M32" s="21"/>
      <c r="N32" s="21"/>
    </row>
    <row r="33" spans="2:15" x14ac:dyDescent="0.35">
      <c r="B33" s="23" t="s">
        <v>35</v>
      </c>
      <c r="C33" s="23" t="s">
        <v>36</v>
      </c>
      <c r="D33" s="23">
        <v>2017</v>
      </c>
      <c r="E33" s="24">
        <v>10507</v>
      </c>
      <c r="F33" s="23" t="s">
        <v>39</v>
      </c>
      <c r="G33" s="23" t="s">
        <v>40</v>
      </c>
      <c r="H33" s="23" t="s">
        <v>50</v>
      </c>
      <c r="I33" s="23" t="s">
        <v>53</v>
      </c>
      <c r="J33" s="23" t="s">
        <v>53</v>
      </c>
      <c r="K33" s="23"/>
      <c r="M33" s="21"/>
      <c r="N33" s="21"/>
    </row>
    <row r="34" spans="2:15" x14ac:dyDescent="0.35">
      <c r="B34" s="23" t="s">
        <v>35</v>
      </c>
      <c r="C34" s="23" t="s">
        <v>36</v>
      </c>
      <c r="D34" s="23">
        <v>2017</v>
      </c>
      <c r="E34" s="24">
        <v>17.899999999999999</v>
      </c>
      <c r="F34" s="23" t="s">
        <v>51</v>
      </c>
      <c r="G34" s="23" t="s">
        <v>19</v>
      </c>
      <c r="H34" s="23" t="s">
        <v>50</v>
      </c>
      <c r="I34" s="23" t="s">
        <v>53</v>
      </c>
      <c r="J34" s="23" t="s">
        <v>42</v>
      </c>
      <c r="K34" s="23"/>
      <c r="M34" s="21">
        <v>14.1</v>
      </c>
      <c r="N34" s="21">
        <f>E34-M34</f>
        <v>3.7999999999999989</v>
      </c>
      <c r="O34" t="s">
        <v>68</v>
      </c>
    </row>
    <row r="35" spans="2:15" x14ac:dyDescent="0.35">
      <c r="B35" s="23" t="s">
        <v>35</v>
      </c>
      <c r="C35" s="23" t="s">
        <v>36</v>
      </c>
      <c r="D35" s="23">
        <v>2017</v>
      </c>
      <c r="E35" s="24">
        <v>6453</v>
      </c>
      <c r="F35" s="23" t="s">
        <v>39</v>
      </c>
      <c r="G35" s="23" t="s">
        <v>19</v>
      </c>
      <c r="H35" s="23" t="s">
        <v>50</v>
      </c>
      <c r="I35" s="23" t="s">
        <v>53</v>
      </c>
      <c r="J35" s="23" t="s">
        <v>42</v>
      </c>
      <c r="K35" s="23"/>
      <c r="M35" s="21">
        <v>6071</v>
      </c>
      <c r="N35" s="21">
        <f>E35-M35</f>
        <v>382</v>
      </c>
      <c r="O35" t="s">
        <v>68</v>
      </c>
    </row>
    <row r="36" spans="2:15" x14ac:dyDescent="0.35">
      <c r="B36" s="23" t="s">
        <v>35</v>
      </c>
      <c r="C36" s="23" t="s">
        <v>36</v>
      </c>
      <c r="D36" s="23">
        <v>2017</v>
      </c>
      <c r="E36" s="24">
        <v>1.73</v>
      </c>
      <c r="F36" s="23" t="s">
        <v>38</v>
      </c>
      <c r="G36" s="23" t="s">
        <v>44</v>
      </c>
      <c r="H36" s="23" t="s">
        <v>50</v>
      </c>
      <c r="I36" s="23" t="s">
        <v>53</v>
      </c>
      <c r="J36" s="23" t="s">
        <v>43</v>
      </c>
      <c r="K36" s="23"/>
      <c r="M36" s="21"/>
      <c r="N36" s="21"/>
    </row>
    <row r="37" spans="2:15" x14ac:dyDescent="0.35">
      <c r="B37" s="23" t="s">
        <v>35</v>
      </c>
      <c r="C37" s="23" t="s">
        <v>36</v>
      </c>
      <c r="D37" s="23">
        <v>2017</v>
      </c>
      <c r="E37" s="24">
        <v>157</v>
      </c>
      <c r="F37" s="23" t="s">
        <v>39</v>
      </c>
      <c r="G37" s="23" t="s">
        <v>44</v>
      </c>
      <c r="H37" s="23" t="s">
        <v>50</v>
      </c>
      <c r="I37" s="23" t="s">
        <v>53</v>
      </c>
      <c r="J37" s="23" t="s">
        <v>43</v>
      </c>
      <c r="K37" s="23"/>
      <c r="M37" s="21"/>
      <c r="N37" s="21"/>
    </row>
    <row r="38" spans="2:15" x14ac:dyDescent="0.35">
      <c r="B38" s="23" t="s">
        <v>35</v>
      </c>
      <c r="C38" s="23" t="s">
        <v>36</v>
      </c>
      <c r="D38" s="23">
        <v>2017</v>
      </c>
      <c r="E38" s="24">
        <v>8.0299999999999994</v>
      </c>
      <c r="F38" s="23" t="s">
        <v>38</v>
      </c>
      <c r="G38" s="23" t="s">
        <v>45</v>
      </c>
      <c r="H38" s="23" t="s">
        <v>50</v>
      </c>
      <c r="I38" s="23" t="s">
        <v>53</v>
      </c>
      <c r="J38" s="23" t="s">
        <v>42</v>
      </c>
      <c r="K38" s="23"/>
      <c r="M38" s="21">
        <v>8.3000000000000007</v>
      </c>
      <c r="N38" s="21">
        <f>E38-M38</f>
        <v>-0.27000000000000135</v>
      </c>
      <c r="O38" t="s">
        <v>67</v>
      </c>
    </row>
    <row r="39" spans="2:15" x14ac:dyDescent="0.35">
      <c r="B39" s="23" t="s">
        <v>35</v>
      </c>
      <c r="C39" s="23" t="s">
        <v>36</v>
      </c>
      <c r="D39" s="23">
        <v>2017</v>
      </c>
      <c r="E39" s="24">
        <v>3857</v>
      </c>
      <c r="F39" s="23" t="s">
        <v>39</v>
      </c>
      <c r="G39" s="23" t="s">
        <v>45</v>
      </c>
      <c r="H39" s="23" t="s">
        <v>50</v>
      </c>
      <c r="I39" s="23" t="s">
        <v>53</v>
      </c>
      <c r="J39" s="23" t="s">
        <v>42</v>
      </c>
      <c r="K39" s="23"/>
      <c r="M39" s="21"/>
      <c r="N39" s="21"/>
    </row>
    <row r="40" spans="2:15" x14ac:dyDescent="0.35">
      <c r="B40" s="23" t="s">
        <v>46</v>
      </c>
      <c r="C40" s="23" t="s">
        <v>36</v>
      </c>
      <c r="D40" s="23">
        <v>2017</v>
      </c>
      <c r="E40" s="24">
        <f>14.648</f>
        <v>14.648</v>
      </c>
      <c r="F40" s="23" t="s">
        <v>51</v>
      </c>
      <c r="G40" s="23" t="s">
        <v>19</v>
      </c>
      <c r="H40" s="23" t="s">
        <v>50</v>
      </c>
      <c r="I40" s="23" t="s">
        <v>52</v>
      </c>
      <c r="J40" s="23" t="s">
        <v>42</v>
      </c>
      <c r="K40" s="23"/>
      <c r="M40" s="21">
        <v>10.8</v>
      </c>
      <c r="N40" s="21">
        <f t="shared" ref="N40:N51" si="1">E40-M40</f>
        <v>3.847999999999999</v>
      </c>
      <c r="O40" t="s">
        <v>68</v>
      </c>
    </row>
    <row r="41" spans="2:15" x14ac:dyDescent="0.35">
      <c r="B41" s="23" t="s">
        <v>46</v>
      </c>
      <c r="C41" s="23" t="s">
        <v>36</v>
      </c>
      <c r="D41" s="23">
        <v>2017</v>
      </c>
      <c r="E41" s="24">
        <f>3.254</f>
        <v>3.254</v>
      </c>
      <c r="F41" s="23" t="s">
        <v>51</v>
      </c>
      <c r="G41" s="23" t="s">
        <v>19</v>
      </c>
      <c r="H41" s="23" t="s">
        <v>50</v>
      </c>
      <c r="I41" s="23" t="s">
        <v>54</v>
      </c>
      <c r="J41" s="23" t="s">
        <v>42</v>
      </c>
      <c r="K41" s="23"/>
      <c r="M41" s="21">
        <v>3.3</v>
      </c>
      <c r="N41" s="21">
        <f t="shared" si="1"/>
        <v>-4.5999999999999819E-2</v>
      </c>
      <c r="O41" t="s">
        <v>67</v>
      </c>
    </row>
    <row r="42" spans="2:15" x14ac:dyDescent="0.35">
      <c r="B42" s="23" t="s">
        <v>46</v>
      </c>
      <c r="C42" s="23" t="s">
        <v>36</v>
      </c>
      <c r="D42" s="23">
        <v>2017</v>
      </c>
      <c r="E42" s="24">
        <f>0.551+3.707</f>
        <v>4.258</v>
      </c>
      <c r="F42" s="23" t="s">
        <v>51</v>
      </c>
      <c r="G42" s="23" t="s">
        <v>19</v>
      </c>
      <c r="H42" s="23" t="s">
        <v>50</v>
      </c>
      <c r="I42" s="23" t="s">
        <v>52</v>
      </c>
      <c r="J42" s="23" t="s">
        <v>42</v>
      </c>
      <c r="K42" s="23" t="s">
        <v>16</v>
      </c>
      <c r="M42" s="21" t="e">
        <f>(#REF!+#REF!)/1000000</f>
        <v>#REF!</v>
      </c>
      <c r="N42" s="21" t="e">
        <f t="shared" si="1"/>
        <v>#REF!</v>
      </c>
      <c r="O42" t="s">
        <v>67</v>
      </c>
    </row>
    <row r="43" spans="2:15" x14ac:dyDescent="0.35">
      <c r="B43" s="23" t="s">
        <v>46</v>
      </c>
      <c r="C43" s="23" t="s">
        <v>36</v>
      </c>
      <c r="D43" s="23">
        <v>2017</v>
      </c>
      <c r="E43" s="24">
        <f>0.769+2.086</f>
        <v>2.855</v>
      </c>
      <c r="F43" s="23" t="s">
        <v>51</v>
      </c>
      <c r="G43" s="23" t="s">
        <v>19</v>
      </c>
      <c r="H43" s="23" t="s">
        <v>50</v>
      </c>
      <c r="I43" s="23" t="s">
        <v>54</v>
      </c>
      <c r="J43" s="23" t="s">
        <v>42</v>
      </c>
      <c r="K43" s="23" t="s">
        <v>16</v>
      </c>
      <c r="M43" s="21" t="e">
        <f>(#REF!+#REF!)/1000000</f>
        <v>#REF!</v>
      </c>
      <c r="N43" s="21" t="e">
        <f t="shared" si="1"/>
        <v>#REF!</v>
      </c>
      <c r="O43" t="s">
        <v>69</v>
      </c>
    </row>
    <row r="44" spans="2:15" x14ac:dyDescent="0.35">
      <c r="B44" s="23" t="s">
        <v>46</v>
      </c>
      <c r="C44" s="23" t="s">
        <v>36</v>
      </c>
      <c r="D44" s="23">
        <v>2017</v>
      </c>
      <c r="E44" s="24">
        <f>E40-E42</f>
        <v>10.39</v>
      </c>
      <c r="F44" s="23" t="s">
        <v>51</v>
      </c>
      <c r="G44" s="23" t="s">
        <v>19</v>
      </c>
      <c r="H44" s="23" t="s">
        <v>50</v>
      </c>
      <c r="I44" s="23" t="s">
        <v>52</v>
      </c>
      <c r="J44" s="23" t="s">
        <v>42</v>
      </c>
      <c r="K44" s="23" t="s">
        <v>26</v>
      </c>
      <c r="M44" s="21" t="e">
        <f>(#REF!+#REF!)/1000000</f>
        <v>#REF!</v>
      </c>
      <c r="N44" s="21" t="e">
        <f t="shared" si="1"/>
        <v>#REF!</v>
      </c>
      <c r="O44" t="s">
        <v>69</v>
      </c>
    </row>
    <row r="45" spans="2:15" x14ac:dyDescent="0.35">
      <c r="B45" s="23" t="s">
        <v>46</v>
      </c>
      <c r="C45" s="23" t="s">
        <v>36</v>
      </c>
      <c r="D45" s="23">
        <v>2017</v>
      </c>
      <c r="E45" s="24">
        <f>E41-E43</f>
        <v>0.39900000000000002</v>
      </c>
      <c r="F45" s="23" t="s">
        <v>51</v>
      </c>
      <c r="G45" s="23" t="s">
        <v>19</v>
      </c>
      <c r="H45" s="23" t="s">
        <v>50</v>
      </c>
      <c r="I45" s="23" t="s">
        <v>54</v>
      </c>
      <c r="J45" s="23" t="s">
        <v>42</v>
      </c>
      <c r="K45" s="23" t="s">
        <v>26</v>
      </c>
      <c r="M45" s="21" t="e">
        <f>(#REF!+#REF!)/1000000</f>
        <v>#REF!</v>
      </c>
      <c r="N45" s="21" t="e">
        <f t="shared" si="1"/>
        <v>#REF!</v>
      </c>
      <c r="O45" t="s">
        <v>73</v>
      </c>
    </row>
    <row r="46" spans="2:15" x14ac:dyDescent="0.35">
      <c r="B46" s="23" t="s">
        <v>55</v>
      </c>
      <c r="C46" s="23" t="s">
        <v>36</v>
      </c>
      <c r="D46" s="23">
        <v>2017</v>
      </c>
      <c r="E46" s="24">
        <v>5265</v>
      </c>
      <c r="F46" s="23" t="s">
        <v>39</v>
      </c>
      <c r="G46" s="23" t="s">
        <v>19</v>
      </c>
      <c r="H46" s="23" t="s">
        <v>50</v>
      </c>
      <c r="I46" s="23" t="s">
        <v>52</v>
      </c>
      <c r="J46" s="23" t="s">
        <v>42</v>
      </c>
      <c r="K46" s="23"/>
      <c r="M46" s="21">
        <v>4913</v>
      </c>
      <c r="N46" s="21">
        <f t="shared" si="1"/>
        <v>352</v>
      </c>
      <c r="O46" t="s">
        <v>68</v>
      </c>
    </row>
    <row r="47" spans="2:15" x14ac:dyDescent="0.35">
      <c r="B47" s="23" t="s">
        <v>55</v>
      </c>
      <c r="C47" s="23" t="s">
        <v>36</v>
      </c>
      <c r="D47" s="23">
        <v>2017</v>
      </c>
      <c r="E47" s="24">
        <v>1188</v>
      </c>
      <c r="F47" s="23" t="s">
        <v>39</v>
      </c>
      <c r="G47" s="23" t="s">
        <v>19</v>
      </c>
      <c r="H47" s="23" t="s">
        <v>50</v>
      </c>
      <c r="I47" s="23" t="s">
        <v>54</v>
      </c>
      <c r="J47" s="23" t="s">
        <v>42</v>
      </c>
      <c r="K47" s="23"/>
      <c r="M47" s="21">
        <v>1158</v>
      </c>
      <c r="N47" s="21">
        <f t="shared" si="1"/>
        <v>30</v>
      </c>
      <c r="O47" t="s">
        <v>74</v>
      </c>
    </row>
    <row r="48" spans="2:15" x14ac:dyDescent="0.35">
      <c r="B48" s="23" t="s">
        <v>55</v>
      </c>
      <c r="C48" s="23" t="s">
        <v>36</v>
      </c>
      <c r="D48" s="23">
        <v>2017</v>
      </c>
      <c r="E48" s="24">
        <f>316+1531</f>
        <v>1847</v>
      </c>
      <c r="F48" s="23" t="s">
        <v>39</v>
      </c>
      <c r="G48" s="23" t="s">
        <v>19</v>
      </c>
      <c r="H48" s="23" t="s">
        <v>50</v>
      </c>
      <c r="I48" s="23" t="s">
        <v>52</v>
      </c>
      <c r="J48" s="23" t="s">
        <v>42</v>
      </c>
      <c r="K48" s="23" t="s">
        <v>16</v>
      </c>
      <c r="M48" s="21" t="e">
        <f>(#REF!+#REF!)/1000000</f>
        <v>#REF!</v>
      </c>
      <c r="N48" s="21" t="e">
        <f t="shared" si="1"/>
        <v>#REF!</v>
      </c>
      <c r="O48" t="s">
        <v>67</v>
      </c>
    </row>
    <row r="49" spans="2:15" x14ac:dyDescent="0.35">
      <c r="B49" s="23" t="s">
        <v>55</v>
      </c>
      <c r="C49" s="23" t="s">
        <v>36</v>
      </c>
      <c r="D49" s="23">
        <v>2017</v>
      </c>
      <c r="E49" s="24">
        <f>393+645</f>
        <v>1038</v>
      </c>
      <c r="F49" s="23" t="s">
        <v>39</v>
      </c>
      <c r="G49" s="23" t="s">
        <v>19</v>
      </c>
      <c r="H49" s="23" t="s">
        <v>50</v>
      </c>
      <c r="I49" s="23" t="s">
        <v>54</v>
      </c>
      <c r="J49" s="23" t="s">
        <v>42</v>
      </c>
      <c r="K49" s="23" t="s">
        <v>16</v>
      </c>
      <c r="M49" s="21" t="e">
        <f>(#REF!+#REF!)/1000000</f>
        <v>#REF!</v>
      </c>
      <c r="N49" s="21" t="e">
        <f t="shared" si="1"/>
        <v>#REF!</v>
      </c>
      <c r="O49" t="s">
        <v>75</v>
      </c>
    </row>
    <row r="50" spans="2:15" x14ac:dyDescent="0.35">
      <c r="B50" s="23" t="s">
        <v>55</v>
      </c>
      <c r="C50" s="23" t="s">
        <v>36</v>
      </c>
      <c r="D50" s="23">
        <v>2017</v>
      </c>
      <c r="E50" s="24">
        <f>E46-E48</f>
        <v>3418</v>
      </c>
      <c r="F50" s="23" t="s">
        <v>39</v>
      </c>
      <c r="G50" s="23" t="s">
        <v>19</v>
      </c>
      <c r="H50" s="23" t="s">
        <v>50</v>
      </c>
      <c r="I50" s="23" t="s">
        <v>52</v>
      </c>
      <c r="J50" s="23" t="s">
        <v>42</v>
      </c>
      <c r="K50" s="23" t="s">
        <v>26</v>
      </c>
      <c r="M50" s="21" t="e">
        <f>(#REF!+#REF!)/1000000</f>
        <v>#REF!</v>
      </c>
      <c r="N50" s="21" t="e">
        <f t="shared" si="1"/>
        <v>#REF!</v>
      </c>
      <c r="O50" t="s">
        <v>68</v>
      </c>
    </row>
    <row r="51" spans="2:15" x14ac:dyDescent="0.35">
      <c r="B51" s="23" t="s">
        <v>55</v>
      </c>
      <c r="C51" s="23" t="s">
        <v>36</v>
      </c>
      <c r="D51" s="23">
        <v>2017</v>
      </c>
      <c r="E51" s="24">
        <f>E47-E49</f>
        <v>150</v>
      </c>
      <c r="F51" s="23" t="s">
        <v>39</v>
      </c>
      <c r="G51" s="23" t="s">
        <v>19</v>
      </c>
      <c r="H51" s="23" t="s">
        <v>50</v>
      </c>
      <c r="I51" s="23" t="s">
        <v>54</v>
      </c>
      <c r="J51" s="23" t="s">
        <v>42</v>
      </c>
      <c r="K51" s="23" t="s">
        <v>26</v>
      </c>
      <c r="M51" s="21" t="e">
        <f>(#REF!+#REF!)/1000000</f>
        <v>#REF!</v>
      </c>
      <c r="N51" s="21" t="e">
        <f t="shared" si="1"/>
        <v>#REF!</v>
      </c>
      <c r="O51" t="s">
        <v>76</v>
      </c>
    </row>
    <row r="52" spans="2:15" x14ac:dyDescent="0.35">
      <c r="B52" s="23" t="s">
        <v>56</v>
      </c>
      <c r="C52" s="23" t="s">
        <v>57</v>
      </c>
      <c r="D52" s="23">
        <v>2017</v>
      </c>
      <c r="E52" s="24">
        <v>41.59</v>
      </c>
      <c r="F52" s="23" t="s">
        <v>58</v>
      </c>
      <c r="G52" s="23" t="s">
        <v>19</v>
      </c>
      <c r="H52" s="23" t="s">
        <v>50</v>
      </c>
      <c r="I52" s="23" t="s">
        <v>53</v>
      </c>
      <c r="J52" s="23" t="s">
        <v>42</v>
      </c>
      <c r="K52" s="23" t="s">
        <v>53</v>
      </c>
      <c r="M52" s="21"/>
      <c r="N52" s="21"/>
    </row>
    <row r="53" spans="2:15" x14ac:dyDescent="0.35">
      <c r="B53" s="25" t="s">
        <v>56</v>
      </c>
      <c r="C53" s="25" t="s">
        <v>57</v>
      </c>
      <c r="D53" s="25">
        <v>2017</v>
      </c>
      <c r="E53" s="26">
        <v>45.71</v>
      </c>
      <c r="F53" s="25" t="s">
        <v>58</v>
      </c>
      <c r="G53" s="25" t="s">
        <v>19</v>
      </c>
      <c r="H53" s="25" t="s">
        <v>50</v>
      </c>
      <c r="I53" s="25" t="s">
        <v>53</v>
      </c>
      <c r="J53" s="25" t="s">
        <v>42</v>
      </c>
      <c r="K53" s="25" t="s">
        <v>59</v>
      </c>
      <c r="M53" s="21" t="s">
        <v>78</v>
      </c>
      <c r="N53" s="21"/>
    </row>
  </sheetData>
  <autoFilter ref="B3:K53" xr:uid="{76528300-C96D-491D-ACD8-F2DDC9DC001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92EC8-CB19-4492-8901-32A3EAE64483}">
  <sheetPr>
    <tabColor theme="0" tint="-4.9989318521683403E-2"/>
  </sheetPr>
  <dimension ref="A1:N91"/>
  <sheetViews>
    <sheetView topLeftCell="C21" zoomScale="76" zoomScaleNormal="100" workbookViewId="0">
      <selection activeCell="B22" sqref="B22:H22"/>
    </sheetView>
  </sheetViews>
  <sheetFormatPr baseColWidth="10" defaultColWidth="11.453125" defaultRowHeight="14.5" x14ac:dyDescent="0.35"/>
  <cols>
    <col min="1" max="1" width="20" customWidth="1"/>
    <col min="2" max="3" width="16.453125" customWidth="1"/>
    <col min="4" max="4" width="22.81640625" customWidth="1"/>
    <col min="5" max="5" width="40.54296875" customWidth="1"/>
    <col min="6" max="6" width="10.81640625" hidden="1" customWidth="1"/>
    <col min="7" max="12" width="0" hidden="1" customWidth="1"/>
  </cols>
  <sheetData>
    <row r="1" spans="1:11" ht="23.5" x14ac:dyDescent="0.55000000000000004">
      <c r="A1" s="238" t="s">
        <v>84</v>
      </c>
      <c r="B1" s="238"/>
      <c r="C1" s="238"/>
      <c r="D1" s="238"/>
      <c r="E1" s="238"/>
    </row>
    <row r="2" spans="1:11" x14ac:dyDescent="0.35">
      <c r="A2" s="239" t="s">
        <v>85</v>
      </c>
      <c r="B2" s="239"/>
      <c r="C2" s="239"/>
      <c r="D2" s="239"/>
      <c r="E2" s="5"/>
    </row>
    <row r="3" spans="1:11" x14ac:dyDescent="0.35">
      <c r="A3" s="5"/>
      <c r="B3" s="42" t="s">
        <v>86</v>
      </c>
      <c r="C3" s="42" t="s">
        <v>87</v>
      </c>
      <c r="D3" s="42" t="s">
        <v>88</v>
      </c>
      <c r="E3" s="5"/>
    </row>
    <row r="4" spans="1:11" x14ac:dyDescent="0.35">
      <c r="A4" s="4" t="s">
        <v>89</v>
      </c>
      <c r="B4" s="43">
        <f>+B5+B12</f>
        <v>10507410000</v>
      </c>
      <c r="C4" s="43">
        <v>10253990000</v>
      </c>
      <c r="D4" s="43">
        <f>+D5+D12</f>
        <v>10096990000</v>
      </c>
      <c r="E4" s="5"/>
    </row>
    <row r="5" spans="1:11" x14ac:dyDescent="0.35">
      <c r="A5" s="44" t="s">
        <v>15</v>
      </c>
      <c r="B5" s="43">
        <v>1799450000</v>
      </c>
      <c r="C5" s="43">
        <v>1799450000</v>
      </c>
      <c r="D5" s="43">
        <v>1799450000</v>
      </c>
      <c r="E5" s="45"/>
      <c r="G5" s="240" t="s">
        <v>90</v>
      </c>
      <c r="H5" s="241"/>
      <c r="I5" s="241"/>
      <c r="J5" s="241"/>
      <c r="K5" s="241"/>
    </row>
    <row r="6" spans="1:11" x14ac:dyDescent="0.35">
      <c r="A6" s="46" t="s">
        <v>143</v>
      </c>
      <c r="B6" s="47">
        <v>1217950000</v>
      </c>
      <c r="C6" s="47">
        <v>1217950000</v>
      </c>
      <c r="D6" s="47">
        <v>1217950000</v>
      </c>
      <c r="E6" s="48" t="s">
        <v>91</v>
      </c>
      <c r="G6" s="241"/>
      <c r="H6" s="241"/>
      <c r="I6" s="241"/>
      <c r="J6" s="241"/>
      <c r="K6" s="241"/>
    </row>
    <row r="7" spans="1:11" x14ac:dyDescent="0.35">
      <c r="A7" s="49" t="s">
        <v>19</v>
      </c>
      <c r="B7" s="50">
        <v>1038000000</v>
      </c>
      <c r="C7" s="51">
        <v>1038000000</v>
      </c>
      <c r="D7" s="51">
        <f>+B7</f>
        <v>1038000000</v>
      </c>
      <c r="E7" s="52"/>
      <c r="G7" s="241"/>
      <c r="H7" s="241"/>
      <c r="I7" s="241"/>
      <c r="J7" s="241"/>
      <c r="K7" s="241"/>
    </row>
    <row r="8" spans="1:11" x14ac:dyDescent="0.35">
      <c r="A8" s="49" t="s">
        <v>92</v>
      </c>
      <c r="B8" s="50">
        <v>179950000</v>
      </c>
      <c r="C8" s="51">
        <v>179950000</v>
      </c>
      <c r="D8" s="51">
        <f>+B8</f>
        <v>179950000</v>
      </c>
      <c r="E8" s="52"/>
      <c r="G8" s="241"/>
      <c r="H8" s="241"/>
      <c r="I8" s="241"/>
      <c r="J8" s="241"/>
      <c r="K8" s="241"/>
    </row>
    <row r="9" spans="1:11" x14ac:dyDescent="0.35">
      <c r="A9" s="46" t="s">
        <v>95</v>
      </c>
      <c r="B9" s="47">
        <v>581500000</v>
      </c>
      <c r="C9" s="53">
        <v>581500000</v>
      </c>
      <c r="D9" s="53">
        <f>+B9</f>
        <v>581500000</v>
      </c>
      <c r="E9" s="45"/>
      <c r="G9" s="241"/>
      <c r="H9" s="241"/>
      <c r="I9" s="241"/>
      <c r="J9" s="241"/>
      <c r="K9" s="241"/>
    </row>
    <row r="10" spans="1:11" x14ac:dyDescent="0.35">
      <c r="A10" s="49" t="s">
        <v>19</v>
      </c>
      <c r="B10" s="50">
        <v>150000000</v>
      </c>
      <c r="C10" s="51">
        <v>150000000</v>
      </c>
      <c r="D10" s="51">
        <f>+B10</f>
        <v>150000000</v>
      </c>
      <c r="E10" s="45"/>
      <c r="G10" s="241"/>
      <c r="H10" s="241"/>
      <c r="I10" s="241"/>
      <c r="J10" s="241"/>
      <c r="K10" s="241"/>
    </row>
    <row r="11" spans="1:11" x14ac:dyDescent="0.35">
      <c r="A11" s="49" t="s">
        <v>92</v>
      </c>
      <c r="B11" s="50">
        <v>431500000</v>
      </c>
      <c r="C11" s="51">
        <v>431500000</v>
      </c>
      <c r="D11" s="51">
        <f>+B11</f>
        <v>431500000</v>
      </c>
      <c r="E11" s="45"/>
      <c r="G11" s="241"/>
      <c r="H11" s="241"/>
      <c r="I11" s="241"/>
      <c r="J11" s="241"/>
      <c r="K11" s="241"/>
    </row>
    <row r="12" spans="1:11" x14ac:dyDescent="0.35">
      <c r="A12" s="44" t="s">
        <v>4</v>
      </c>
      <c r="B12" s="43">
        <v>8707960000</v>
      </c>
      <c r="C12" s="43">
        <v>8454540000</v>
      </c>
      <c r="D12" s="43">
        <f>+D13+D16</f>
        <v>8297540000</v>
      </c>
      <c r="E12" s="45"/>
      <c r="G12" s="241"/>
      <c r="H12" s="241"/>
      <c r="I12" s="241"/>
      <c r="J12" s="241"/>
      <c r="K12" s="241"/>
    </row>
    <row r="13" spans="1:11" x14ac:dyDescent="0.35">
      <c r="A13" s="46" t="s">
        <v>143</v>
      </c>
      <c r="B13" s="47">
        <f>4004410000+401130000</f>
        <v>4405540000</v>
      </c>
      <c r="C13" s="47">
        <v>4405540000</v>
      </c>
      <c r="D13" s="47">
        <f>+D14+D15</f>
        <v>4405540000</v>
      </c>
      <c r="E13" s="45"/>
    </row>
    <row r="14" spans="1:11" x14ac:dyDescent="0.35">
      <c r="A14" s="49" t="s">
        <v>19</v>
      </c>
      <c r="B14" s="51">
        <v>1847000000</v>
      </c>
      <c r="C14" s="51">
        <v>1847000000</v>
      </c>
      <c r="D14" s="51">
        <f>+B14</f>
        <v>1847000000</v>
      </c>
      <c r="E14" s="52"/>
    </row>
    <row r="15" spans="1:11" x14ac:dyDescent="0.35">
      <c r="A15" s="49" t="s">
        <v>92</v>
      </c>
      <c r="B15" s="51">
        <f>+B13-B14</f>
        <v>2558540000</v>
      </c>
      <c r="C15" s="51">
        <v>2558540000</v>
      </c>
      <c r="D15" s="104">
        <f>C15</f>
        <v>2558540000</v>
      </c>
      <c r="E15" s="52"/>
    </row>
    <row r="16" spans="1:11" x14ac:dyDescent="0.35">
      <c r="A16" s="46" t="s">
        <v>95</v>
      </c>
      <c r="B16" s="47">
        <f>4703550000-401130000</f>
        <v>4302420000</v>
      </c>
      <c r="C16" s="47">
        <v>4049000000</v>
      </c>
      <c r="D16" s="47">
        <f>+D18+D17</f>
        <v>3892000000</v>
      </c>
      <c r="E16" s="45"/>
    </row>
    <row r="17" spans="1:5" x14ac:dyDescent="0.35">
      <c r="A17" s="5" t="s">
        <v>93</v>
      </c>
      <c r="B17" s="50">
        <f>805230000-551810000</f>
        <v>253420000</v>
      </c>
      <c r="C17" s="50"/>
      <c r="D17" s="50"/>
      <c r="E17" s="2" t="s">
        <v>94</v>
      </c>
    </row>
    <row r="18" spans="1:5" x14ac:dyDescent="0.35">
      <c r="A18" s="5" t="s">
        <v>95</v>
      </c>
      <c r="B18" s="50">
        <f>+B16-B17</f>
        <v>4049000000</v>
      </c>
      <c r="C18" s="50">
        <v>4049000000</v>
      </c>
      <c r="D18" s="50">
        <f>+D19+D20</f>
        <v>3892000000</v>
      </c>
      <c r="E18" s="45"/>
    </row>
    <row r="19" spans="1:5" x14ac:dyDescent="0.35">
      <c r="A19" s="54" t="s">
        <v>19</v>
      </c>
      <c r="B19" s="51">
        <f>3418000000-B17</f>
        <v>3164580000</v>
      </c>
      <c r="C19" s="51">
        <v>3164580000</v>
      </c>
      <c r="D19" s="51">
        <f>+B19-B62*1000000</f>
        <v>3007580000</v>
      </c>
      <c r="E19" s="45"/>
    </row>
    <row r="20" spans="1:5" x14ac:dyDescent="0.35">
      <c r="A20" s="54" t="s">
        <v>92</v>
      </c>
      <c r="B20" s="51">
        <f>+B18-B19</f>
        <v>884420000</v>
      </c>
      <c r="C20" s="51">
        <v>884420000</v>
      </c>
      <c r="D20" s="104">
        <f>C20</f>
        <v>884420000</v>
      </c>
      <c r="E20" s="45"/>
    </row>
    <row r="22" spans="1:5" hidden="1" x14ac:dyDescent="0.35"/>
    <row r="25" spans="1:5" ht="23.5" x14ac:dyDescent="0.55000000000000004">
      <c r="A25" s="238" t="s">
        <v>96</v>
      </c>
      <c r="B25" s="238"/>
      <c r="C25" s="238"/>
      <c r="D25" s="238"/>
      <c r="E25" s="238"/>
    </row>
    <row r="26" spans="1:5" x14ac:dyDescent="0.35">
      <c r="A26" s="239" t="s">
        <v>97</v>
      </c>
      <c r="B26" s="239"/>
      <c r="C26" s="239"/>
      <c r="D26" s="239"/>
    </row>
    <row r="27" spans="1:5" x14ac:dyDescent="0.35">
      <c r="B27" s="42" t="s">
        <v>86</v>
      </c>
      <c r="C27" s="42" t="s">
        <v>87</v>
      </c>
      <c r="D27" s="42" t="s">
        <v>88</v>
      </c>
      <c r="E27" s="48"/>
    </row>
    <row r="28" spans="1:5" x14ac:dyDescent="0.35">
      <c r="A28" s="4" t="s">
        <v>98</v>
      </c>
      <c r="B28" s="43">
        <v>28305870</v>
      </c>
      <c r="C28" s="43">
        <v>25499950</v>
      </c>
      <c r="D28" s="43">
        <f>+D29+D36</f>
        <v>23769950</v>
      </c>
      <c r="E28" s="48"/>
    </row>
    <row r="29" spans="1:5" x14ac:dyDescent="0.35">
      <c r="A29" s="44" t="s">
        <v>15</v>
      </c>
      <c r="B29" s="43">
        <v>4588530</v>
      </c>
      <c r="C29" s="43">
        <v>4588530</v>
      </c>
      <c r="D29" s="43">
        <f t="shared" ref="D29:D35" si="0">+B29</f>
        <v>4588530</v>
      </c>
      <c r="E29" s="48"/>
    </row>
    <row r="30" spans="1:5" x14ac:dyDescent="0.35">
      <c r="A30" s="46" t="s">
        <v>143</v>
      </c>
      <c r="B30" s="47">
        <f>+B31+B32</f>
        <v>3437360.3093858631</v>
      </c>
      <c r="C30" s="47">
        <v>3437360.3093858631</v>
      </c>
      <c r="D30" s="47">
        <f t="shared" si="0"/>
        <v>3437360.3093858631</v>
      </c>
    </row>
    <row r="31" spans="1:5" x14ac:dyDescent="0.35">
      <c r="A31" s="49" t="s">
        <v>19</v>
      </c>
      <c r="B31" s="51">
        <v>2900000</v>
      </c>
      <c r="C31" s="51">
        <v>2900000</v>
      </c>
      <c r="D31" s="51">
        <f t="shared" si="0"/>
        <v>2900000</v>
      </c>
      <c r="E31" s="55"/>
    </row>
    <row r="32" spans="1:5" x14ac:dyDescent="0.35">
      <c r="A32" s="49" t="s">
        <v>92</v>
      </c>
      <c r="B32" s="51">
        <f>+(B29-B31-B34)*(B8/B11)</f>
        <v>537360.30938586325</v>
      </c>
      <c r="C32" s="51">
        <v>537360.30938586325</v>
      </c>
      <c r="D32" s="51">
        <f t="shared" si="0"/>
        <v>537360.30938586325</v>
      </c>
      <c r="E32" s="55"/>
    </row>
    <row r="33" spans="1:5" x14ac:dyDescent="0.35">
      <c r="A33" s="46" t="s">
        <v>95</v>
      </c>
      <c r="B33" s="53">
        <f>+B34+B35</f>
        <v>1151169.6906141369</v>
      </c>
      <c r="C33" s="53">
        <v>1151169.6906141369</v>
      </c>
      <c r="D33" s="53">
        <f t="shared" si="0"/>
        <v>1151169.6906141369</v>
      </c>
      <c r="E33" s="48"/>
    </row>
    <row r="34" spans="1:5" x14ac:dyDescent="0.35">
      <c r="A34" s="49" t="s">
        <v>19</v>
      </c>
      <c r="B34" s="56">
        <v>400000</v>
      </c>
      <c r="C34" s="51">
        <v>400000</v>
      </c>
      <c r="D34" s="51">
        <f t="shared" si="0"/>
        <v>400000</v>
      </c>
      <c r="E34" s="48"/>
    </row>
    <row r="35" spans="1:5" x14ac:dyDescent="0.35">
      <c r="A35" s="49" t="s">
        <v>92</v>
      </c>
      <c r="B35" s="56">
        <f>+B29-B31-B32-B34</f>
        <v>751169.69061413687</v>
      </c>
      <c r="C35" s="51">
        <v>751169.69061413687</v>
      </c>
      <c r="D35" s="51">
        <f t="shared" si="0"/>
        <v>751169.69061413687</v>
      </c>
      <c r="E35" s="48"/>
    </row>
    <row r="36" spans="1:5" x14ac:dyDescent="0.35">
      <c r="A36" s="44" t="s">
        <v>4</v>
      </c>
      <c r="B36" s="57">
        <v>23717340</v>
      </c>
      <c r="C36" s="57">
        <v>20911420</v>
      </c>
      <c r="D36" s="57">
        <f>+D37+D40</f>
        <v>19181420</v>
      </c>
      <c r="E36" s="58"/>
    </row>
    <row r="37" spans="1:5" x14ac:dyDescent="0.35">
      <c r="A37" s="46" t="s">
        <v>143</v>
      </c>
      <c r="B37" s="47">
        <f>7984860+1177160</f>
        <v>9162020</v>
      </c>
      <c r="C37" s="47">
        <v>9162020</v>
      </c>
      <c r="D37" s="47">
        <f>+D38+D39</f>
        <v>9162020</v>
      </c>
      <c r="E37" s="48"/>
    </row>
    <row r="38" spans="1:5" x14ac:dyDescent="0.35">
      <c r="A38" s="49" t="s">
        <v>19</v>
      </c>
      <c r="B38" s="50">
        <v>4258000</v>
      </c>
      <c r="C38" s="50">
        <v>4258000</v>
      </c>
      <c r="D38" s="50">
        <f>+B38</f>
        <v>4258000</v>
      </c>
      <c r="E38" s="55"/>
    </row>
    <row r="39" spans="1:5" x14ac:dyDescent="0.35">
      <c r="A39" s="49" t="s">
        <v>92</v>
      </c>
      <c r="B39" s="50">
        <f>+B37-B38</f>
        <v>4904020</v>
      </c>
      <c r="C39" s="50">
        <v>4904020</v>
      </c>
      <c r="D39" s="103">
        <f>C39</f>
        <v>4904020</v>
      </c>
      <c r="E39" s="55"/>
    </row>
    <row r="40" spans="1:5" x14ac:dyDescent="0.35">
      <c r="A40" s="46" t="s">
        <v>95</v>
      </c>
      <c r="B40" s="47">
        <f>15732480-1177160</f>
        <v>14555320</v>
      </c>
      <c r="C40" s="47">
        <v>11749400</v>
      </c>
      <c r="D40" s="47">
        <f>+SUM(D43:D44)</f>
        <v>10019400</v>
      </c>
      <c r="E40" s="48"/>
    </row>
    <row r="41" spans="1:5" x14ac:dyDescent="0.35">
      <c r="A41" s="5" t="s">
        <v>93</v>
      </c>
      <c r="B41" s="50">
        <f>6822060-4016140</f>
        <v>2805920</v>
      </c>
      <c r="C41" s="50"/>
      <c r="D41" s="50"/>
      <c r="E41" s="2" t="s">
        <v>94</v>
      </c>
    </row>
    <row r="42" spans="1:5" x14ac:dyDescent="0.35">
      <c r="A42" s="5" t="s">
        <v>95</v>
      </c>
      <c r="B42" s="50">
        <f>+B40-B41</f>
        <v>11749400</v>
      </c>
      <c r="C42" s="50">
        <v>11749400</v>
      </c>
      <c r="D42" s="50">
        <f>+D43+D44</f>
        <v>10019400</v>
      </c>
    </row>
    <row r="43" spans="1:5" x14ac:dyDescent="0.35">
      <c r="A43" s="54" t="s">
        <v>19</v>
      </c>
      <c r="B43" s="51">
        <f>10390000-B41</f>
        <v>7584080</v>
      </c>
      <c r="C43" s="50">
        <v>7584080</v>
      </c>
      <c r="D43" s="50">
        <f>+B43-B55*1000000</f>
        <v>5854080</v>
      </c>
    </row>
    <row r="44" spans="1:5" x14ac:dyDescent="0.35">
      <c r="A44" s="54" t="s">
        <v>92</v>
      </c>
      <c r="B44" s="51">
        <f>+B42-B43</f>
        <v>4165320</v>
      </c>
      <c r="C44" s="50">
        <v>4165320</v>
      </c>
      <c r="D44" s="103">
        <f>C44</f>
        <v>4165320</v>
      </c>
      <c r="E44" s="59" t="s">
        <v>69</v>
      </c>
    </row>
    <row r="48" spans="1:5" ht="18.5" x14ac:dyDescent="0.45">
      <c r="A48" s="242" t="s">
        <v>99</v>
      </c>
      <c r="B48" s="242"/>
      <c r="C48" s="242"/>
      <c r="D48" s="242"/>
      <c r="E48" s="242"/>
    </row>
    <row r="50" spans="1:3" x14ac:dyDescent="0.35">
      <c r="A50" s="237" t="s">
        <v>100</v>
      </c>
      <c r="B50" s="237"/>
      <c r="C50" s="237"/>
    </row>
    <row r="51" spans="1:3" x14ac:dyDescent="0.35">
      <c r="B51" t="s">
        <v>101</v>
      </c>
    </row>
    <row r="52" spans="1:3" x14ac:dyDescent="0.35">
      <c r="A52" t="s">
        <v>102</v>
      </c>
      <c r="B52">
        <v>0.38</v>
      </c>
      <c r="C52" t="s">
        <v>103</v>
      </c>
    </row>
    <row r="53" spans="1:3" x14ac:dyDescent="0.35">
      <c r="A53" t="s">
        <v>104</v>
      </c>
      <c r="B53">
        <f>0.64-0.38</f>
        <v>0.26</v>
      </c>
      <c r="C53" t="s">
        <v>105</v>
      </c>
    </row>
    <row r="55" spans="1:3" x14ac:dyDescent="0.35">
      <c r="A55" t="s">
        <v>106</v>
      </c>
      <c r="B55">
        <v>1.73</v>
      </c>
      <c r="C55" t="s">
        <v>103</v>
      </c>
    </row>
    <row r="58" spans="1:3" x14ac:dyDescent="0.35">
      <c r="B58" t="s">
        <v>107</v>
      </c>
    </row>
    <row r="59" spans="1:3" x14ac:dyDescent="0.35">
      <c r="A59" t="s">
        <v>102</v>
      </c>
      <c r="B59">
        <v>24</v>
      </c>
      <c r="C59" t="s">
        <v>103</v>
      </c>
    </row>
    <row r="60" spans="1:3" x14ac:dyDescent="0.35">
      <c r="A60" t="s">
        <v>104</v>
      </c>
      <c r="B60">
        <v>17</v>
      </c>
      <c r="C60" t="s">
        <v>105</v>
      </c>
    </row>
    <row r="62" spans="1:3" x14ac:dyDescent="0.35">
      <c r="A62" t="s">
        <v>106</v>
      </c>
      <c r="B62">
        <v>157</v>
      </c>
      <c r="C62" t="s">
        <v>103</v>
      </c>
    </row>
    <row r="66" spans="1:14" x14ac:dyDescent="0.35">
      <c r="A66" s="237" t="s">
        <v>108</v>
      </c>
      <c r="B66" s="237"/>
      <c r="C66" s="237"/>
    </row>
    <row r="67" spans="1:14" x14ac:dyDescent="0.35">
      <c r="A67" s="36"/>
      <c r="B67" s="36"/>
      <c r="C67" s="36"/>
      <c r="D67" s="36"/>
      <c r="E67" s="36"/>
      <c r="F67" s="36"/>
      <c r="G67" s="36"/>
      <c r="H67" s="36"/>
      <c r="I67" s="36"/>
      <c r="J67" s="36"/>
      <c r="K67" s="36"/>
      <c r="L67" s="36"/>
      <c r="M67" s="36"/>
      <c r="N67" s="36"/>
    </row>
    <row r="68" spans="1:14" x14ac:dyDescent="0.35">
      <c r="A68" s="36" t="s">
        <v>109</v>
      </c>
      <c r="B68" s="36"/>
      <c r="C68" s="36"/>
      <c r="D68" s="36"/>
      <c r="E68" s="36"/>
      <c r="F68" s="36"/>
      <c r="G68" s="36"/>
      <c r="H68" s="36"/>
      <c r="I68" s="36"/>
      <c r="J68" s="36"/>
      <c r="K68" s="36"/>
      <c r="L68" s="36"/>
      <c r="M68" s="36"/>
      <c r="N68" s="36"/>
    </row>
    <row r="69" spans="1:14" x14ac:dyDescent="0.35">
      <c r="A69" s="36"/>
      <c r="B69" s="36"/>
      <c r="C69" s="36"/>
      <c r="D69" s="36"/>
      <c r="E69" s="36"/>
      <c r="F69" s="36"/>
      <c r="G69" s="36"/>
      <c r="H69" s="36"/>
      <c r="I69" s="36"/>
      <c r="J69" s="36"/>
      <c r="K69" s="36"/>
      <c r="L69" s="36"/>
      <c r="M69" s="36"/>
      <c r="N69" s="36"/>
    </row>
    <row r="70" spans="1:14" x14ac:dyDescent="0.35">
      <c r="A70" s="36" t="s">
        <v>110</v>
      </c>
      <c r="B70" s="36"/>
      <c r="C70" s="36"/>
      <c r="D70" s="36"/>
      <c r="E70" s="36"/>
      <c r="F70" s="36"/>
      <c r="G70" s="36"/>
      <c r="H70" s="36"/>
      <c r="I70" s="36"/>
      <c r="J70" s="36"/>
      <c r="K70" s="36"/>
      <c r="L70" s="36"/>
      <c r="M70" s="36"/>
      <c r="N70" s="36"/>
    </row>
    <row r="71" spans="1:14" x14ac:dyDescent="0.35">
      <c r="A71" s="36" t="s">
        <v>111</v>
      </c>
      <c r="B71" s="36"/>
      <c r="C71" s="36"/>
      <c r="D71" s="36"/>
      <c r="E71" s="36"/>
      <c r="F71" s="36"/>
      <c r="G71" s="36"/>
      <c r="H71" s="36"/>
      <c r="I71" s="36"/>
      <c r="J71" s="36"/>
      <c r="K71" s="36"/>
      <c r="L71" s="36"/>
      <c r="M71" s="36"/>
      <c r="N71" s="36"/>
    </row>
    <row r="72" spans="1:14" x14ac:dyDescent="0.35">
      <c r="A72" s="36" t="s">
        <v>112</v>
      </c>
      <c r="B72" s="36"/>
      <c r="C72" s="36"/>
      <c r="D72" s="36"/>
      <c r="E72" s="36"/>
      <c r="F72" s="36"/>
      <c r="G72" s="36"/>
      <c r="H72" s="36"/>
      <c r="I72" s="36"/>
      <c r="J72" s="36"/>
      <c r="K72" s="36"/>
      <c r="L72" s="36"/>
      <c r="M72" s="36"/>
      <c r="N72" s="36"/>
    </row>
    <row r="73" spans="1:14" x14ac:dyDescent="0.35">
      <c r="A73" s="36"/>
      <c r="B73" s="36"/>
      <c r="C73" s="36"/>
      <c r="D73" s="36"/>
      <c r="E73" s="36"/>
      <c r="F73" s="36"/>
      <c r="G73" s="36"/>
      <c r="H73" s="36"/>
      <c r="I73" s="36"/>
      <c r="J73" s="36"/>
      <c r="K73" s="36"/>
      <c r="L73" s="36"/>
      <c r="M73" s="36"/>
      <c r="N73" s="36"/>
    </row>
    <row r="74" spans="1:14" x14ac:dyDescent="0.35">
      <c r="A74" s="36" t="s">
        <v>113</v>
      </c>
      <c r="B74" s="36"/>
      <c r="C74" s="36"/>
      <c r="D74" s="36"/>
      <c r="E74" s="36"/>
      <c r="F74" s="36"/>
      <c r="G74" s="36"/>
      <c r="H74" s="36"/>
      <c r="I74" s="36"/>
      <c r="J74" s="36"/>
      <c r="K74" s="36"/>
      <c r="L74" s="36"/>
      <c r="M74" s="36"/>
      <c r="N74" s="36"/>
    </row>
    <row r="75" spans="1:14" x14ac:dyDescent="0.35">
      <c r="A75" s="36"/>
      <c r="B75" s="36"/>
      <c r="C75" s="36"/>
      <c r="D75" s="36"/>
      <c r="E75" s="36"/>
      <c r="F75" s="36"/>
      <c r="G75" s="36"/>
      <c r="H75" s="36"/>
      <c r="I75" s="36"/>
      <c r="J75" s="36"/>
      <c r="K75" s="36"/>
      <c r="L75" s="36"/>
      <c r="M75" s="36"/>
      <c r="N75" s="36"/>
    </row>
    <row r="76" spans="1:14" x14ac:dyDescent="0.35">
      <c r="A76" s="36" t="s">
        <v>114</v>
      </c>
      <c r="B76" s="36"/>
      <c r="C76" s="36"/>
      <c r="D76" s="36"/>
      <c r="E76" s="36"/>
      <c r="F76" s="36"/>
      <c r="G76" s="36"/>
      <c r="H76" s="36"/>
      <c r="I76" s="36"/>
      <c r="J76" s="36"/>
      <c r="K76" s="36"/>
      <c r="L76" s="36"/>
      <c r="M76" s="36"/>
      <c r="N76" s="36"/>
    </row>
    <row r="77" spans="1:14" x14ac:dyDescent="0.35">
      <c r="A77" s="36" t="s">
        <v>115</v>
      </c>
      <c r="B77" s="36"/>
      <c r="C77" s="36"/>
      <c r="D77" s="36"/>
      <c r="E77" s="36"/>
      <c r="F77" s="36"/>
      <c r="G77" s="36"/>
      <c r="H77" s="36"/>
      <c r="I77" s="36"/>
      <c r="J77" s="36"/>
      <c r="K77" s="36"/>
      <c r="L77" s="36"/>
      <c r="M77" s="36"/>
      <c r="N77" s="36"/>
    </row>
    <row r="78" spans="1:14" x14ac:dyDescent="0.35">
      <c r="A78" s="36" t="s">
        <v>116</v>
      </c>
      <c r="B78" s="36"/>
      <c r="C78" s="36"/>
      <c r="D78" s="36"/>
      <c r="E78" s="36"/>
      <c r="F78" s="36"/>
      <c r="G78" s="36"/>
      <c r="H78" s="36"/>
      <c r="I78" s="36"/>
      <c r="J78" s="36"/>
      <c r="K78" s="36"/>
      <c r="L78" s="36"/>
      <c r="M78" s="36"/>
      <c r="N78" s="36"/>
    </row>
    <row r="79" spans="1:14" x14ac:dyDescent="0.35">
      <c r="A79" s="36"/>
      <c r="B79" s="36"/>
      <c r="C79" s="36"/>
      <c r="D79" s="36"/>
      <c r="E79" s="36"/>
      <c r="F79" s="36"/>
      <c r="G79" s="36"/>
      <c r="H79" s="36"/>
      <c r="I79" s="36"/>
      <c r="J79" s="36"/>
      <c r="K79" s="36"/>
      <c r="L79" s="36"/>
      <c r="M79" s="36"/>
      <c r="N79" s="36"/>
    </row>
    <row r="80" spans="1:14" x14ac:dyDescent="0.35">
      <c r="A80" s="36" t="s">
        <v>117</v>
      </c>
      <c r="B80" s="36"/>
      <c r="C80" s="36"/>
      <c r="D80" s="36"/>
      <c r="E80" s="36"/>
      <c r="F80" s="36"/>
      <c r="G80" s="36"/>
      <c r="H80" s="36"/>
      <c r="I80" s="36"/>
      <c r="J80" s="36"/>
      <c r="K80" s="36"/>
      <c r="L80" s="36"/>
      <c r="M80" s="36"/>
      <c r="N80" s="36"/>
    </row>
    <row r="81" spans="1:14" x14ac:dyDescent="0.35">
      <c r="A81" s="36"/>
      <c r="B81" s="36"/>
      <c r="C81" s="36"/>
      <c r="D81" s="36"/>
      <c r="E81" s="36"/>
      <c r="F81" s="36"/>
      <c r="G81" s="36"/>
      <c r="H81" s="36"/>
      <c r="I81" s="36"/>
      <c r="J81" s="36"/>
      <c r="K81" s="36"/>
      <c r="L81" s="36"/>
      <c r="M81" s="36"/>
      <c r="N81" s="36"/>
    </row>
    <row r="82" spans="1:14" x14ac:dyDescent="0.35">
      <c r="A82" s="36" t="s">
        <v>118</v>
      </c>
      <c r="B82" s="36"/>
      <c r="C82" s="36"/>
      <c r="D82" s="36"/>
      <c r="E82" s="36"/>
      <c r="F82" s="36"/>
      <c r="G82" s="36"/>
      <c r="H82" s="36"/>
      <c r="I82" s="36"/>
      <c r="J82" s="36"/>
      <c r="K82" s="36"/>
      <c r="L82" s="36"/>
      <c r="M82" s="36"/>
      <c r="N82" s="36"/>
    </row>
    <row r="83" spans="1:14" x14ac:dyDescent="0.35">
      <c r="A83" s="36" t="s">
        <v>119</v>
      </c>
      <c r="B83" s="36"/>
      <c r="C83" s="36"/>
      <c r="D83" s="36"/>
      <c r="E83" s="36"/>
      <c r="F83" s="36"/>
      <c r="G83" s="36"/>
      <c r="H83" s="36"/>
      <c r="I83" s="36"/>
      <c r="J83" s="36"/>
      <c r="K83" s="36"/>
      <c r="L83" s="36"/>
      <c r="M83" s="36"/>
      <c r="N83" s="36"/>
    </row>
    <row r="84" spans="1:14" x14ac:dyDescent="0.35">
      <c r="A84" s="36"/>
      <c r="B84" s="36"/>
      <c r="C84" s="36"/>
      <c r="D84" s="36"/>
      <c r="E84" s="36"/>
      <c r="F84" s="36"/>
      <c r="G84" s="36"/>
      <c r="H84" s="36"/>
      <c r="I84" s="36"/>
      <c r="J84" s="36"/>
      <c r="K84" s="36"/>
      <c r="L84" s="36"/>
      <c r="M84" s="36"/>
      <c r="N84" s="36"/>
    </row>
    <row r="85" spans="1:14" x14ac:dyDescent="0.35">
      <c r="A85" s="36" t="s">
        <v>120</v>
      </c>
      <c r="B85" s="36"/>
      <c r="C85" s="36"/>
      <c r="D85" s="36"/>
      <c r="E85" s="36"/>
      <c r="F85" s="36"/>
      <c r="G85" s="36"/>
      <c r="H85" s="36"/>
      <c r="I85" s="36"/>
      <c r="J85" s="36"/>
      <c r="K85" s="36"/>
      <c r="L85" s="36"/>
      <c r="M85" s="36"/>
      <c r="N85" s="36"/>
    </row>
    <row r="86" spans="1:14" x14ac:dyDescent="0.35">
      <c r="A86" s="36"/>
      <c r="B86" s="36"/>
      <c r="C86" s="36"/>
      <c r="D86" s="36"/>
      <c r="E86" s="36"/>
      <c r="F86" s="36"/>
      <c r="G86" s="36"/>
      <c r="H86" s="36"/>
      <c r="I86" s="36"/>
      <c r="J86" s="36"/>
      <c r="K86" s="36"/>
      <c r="L86" s="36"/>
      <c r="M86" s="36"/>
      <c r="N86" s="36"/>
    </row>
    <row r="87" spans="1:14" x14ac:dyDescent="0.35">
      <c r="A87" s="36" t="s">
        <v>121</v>
      </c>
      <c r="B87" s="36"/>
      <c r="C87" s="36"/>
      <c r="D87" s="36"/>
      <c r="E87" s="36"/>
      <c r="F87" s="36"/>
      <c r="G87" s="36"/>
      <c r="H87" s="36"/>
      <c r="I87" s="36"/>
      <c r="J87" s="36"/>
      <c r="K87" s="36"/>
      <c r="L87" s="36"/>
      <c r="M87" s="36"/>
      <c r="N87" s="36"/>
    </row>
    <row r="88" spans="1:14" x14ac:dyDescent="0.35">
      <c r="A88" s="36" t="s">
        <v>122</v>
      </c>
      <c r="B88" s="36"/>
      <c r="C88" s="36"/>
      <c r="D88" s="36"/>
      <c r="E88" s="36"/>
      <c r="F88" s="36"/>
      <c r="G88" s="36"/>
      <c r="H88" s="36"/>
      <c r="I88" s="36"/>
      <c r="J88" s="36"/>
      <c r="K88" s="36"/>
      <c r="L88" s="36"/>
      <c r="M88" s="36"/>
      <c r="N88" s="36"/>
    </row>
    <row r="89" spans="1:14" x14ac:dyDescent="0.35">
      <c r="A89" s="36" t="s">
        <v>123</v>
      </c>
      <c r="B89" s="36"/>
      <c r="C89" s="36"/>
      <c r="D89" s="36"/>
      <c r="E89" s="36"/>
      <c r="F89" s="36"/>
      <c r="G89" s="36"/>
      <c r="H89" s="36"/>
      <c r="I89" s="36"/>
      <c r="J89" s="36"/>
      <c r="K89" s="36"/>
      <c r="L89" s="36"/>
      <c r="M89" s="36"/>
      <c r="N89" s="36"/>
    </row>
    <row r="90" spans="1:14" x14ac:dyDescent="0.35">
      <c r="A90" s="36" t="s">
        <v>124</v>
      </c>
      <c r="B90" s="36"/>
      <c r="C90" s="36"/>
      <c r="D90" s="36"/>
      <c r="E90" s="36"/>
      <c r="F90" s="36"/>
      <c r="G90" s="36"/>
      <c r="H90" s="36"/>
      <c r="I90" s="36"/>
      <c r="J90" s="36"/>
      <c r="K90" s="36"/>
      <c r="L90" s="36"/>
      <c r="M90" s="36"/>
      <c r="N90" s="36"/>
    </row>
    <row r="91" spans="1:14" x14ac:dyDescent="0.35">
      <c r="A91" s="36"/>
      <c r="B91" s="36"/>
      <c r="C91" s="36"/>
      <c r="D91" s="36"/>
      <c r="E91" s="36"/>
      <c r="F91" s="36"/>
      <c r="G91" s="36"/>
      <c r="H91" s="36"/>
      <c r="I91" s="36"/>
      <c r="J91" s="36"/>
      <c r="K91" s="36"/>
      <c r="L91" s="36"/>
      <c r="M91" s="36"/>
      <c r="N91" s="36"/>
    </row>
  </sheetData>
  <mergeCells count="8">
    <mergeCell ref="A50:C50"/>
    <mergeCell ref="A66:C66"/>
    <mergeCell ref="A1:E1"/>
    <mergeCell ref="A2:D2"/>
    <mergeCell ref="G5:K12"/>
    <mergeCell ref="A25:E25"/>
    <mergeCell ref="A26:D26"/>
    <mergeCell ref="A48:E4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FDE2C-705A-421C-B67F-C8E96AF438D0}">
  <sheetPr>
    <tabColor theme="0" tint="-4.9989318521683403E-2"/>
  </sheetPr>
  <dimension ref="B2:W76"/>
  <sheetViews>
    <sheetView topLeftCell="A11" zoomScale="40" zoomScaleNormal="94" workbookViewId="0">
      <selection activeCell="B22" sqref="B22:H22"/>
    </sheetView>
  </sheetViews>
  <sheetFormatPr baseColWidth="10" defaultColWidth="11.453125" defaultRowHeight="14.5" x14ac:dyDescent="0.35"/>
  <cols>
    <col min="2" max="2" width="5.1796875" customWidth="1"/>
    <col min="3" max="3" width="17.1796875" customWidth="1"/>
    <col min="4" max="4" width="23.453125" customWidth="1"/>
    <col min="5" max="7" width="17.1796875" customWidth="1"/>
    <col min="8" max="8" width="7.1796875" customWidth="1"/>
    <col min="9" max="20" width="17.1796875" customWidth="1"/>
    <col min="21" max="21" width="4.81640625" customWidth="1"/>
  </cols>
  <sheetData>
    <row r="2" spans="2:21" x14ac:dyDescent="0.35">
      <c r="C2" s="59" t="s">
        <v>125</v>
      </c>
    </row>
    <row r="3" spans="2:21" x14ac:dyDescent="0.35">
      <c r="B3" s="60"/>
      <c r="C3" s="60"/>
      <c r="D3" s="60"/>
      <c r="E3" s="60"/>
      <c r="F3" s="60"/>
      <c r="G3" s="60"/>
      <c r="H3" s="60"/>
      <c r="I3" s="60"/>
      <c r="J3" s="60"/>
      <c r="K3" s="60"/>
      <c r="L3" s="60"/>
      <c r="M3" s="60"/>
      <c r="N3" s="60"/>
      <c r="O3" s="60"/>
      <c r="P3" s="60"/>
      <c r="Q3" s="60"/>
      <c r="R3" s="60"/>
      <c r="S3" s="60"/>
      <c r="T3" s="60"/>
      <c r="U3" s="60"/>
    </row>
    <row r="4" spans="2:21" x14ac:dyDescent="0.35">
      <c r="B4" s="60"/>
      <c r="C4" s="60" t="s">
        <v>126</v>
      </c>
      <c r="D4" s="60"/>
      <c r="E4" s="60"/>
      <c r="F4" s="60"/>
      <c r="G4" s="60"/>
      <c r="H4" s="60"/>
      <c r="I4" s="60" t="s">
        <v>126</v>
      </c>
      <c r="J4" s="60"/>
      <c r="K4" s="60"/>
      <c r="L4" s="60"/>
      <c r="M4" s="60"/>
      <c r="N4" s="60"/>
      <c r="O4" s="60"/>
      <c r="P4" s="60"/>
      <c r="Q4" s="60"/>
      <c r="R4" s="60"/>
      <c r="S4" s="60"/>
      <c r="T4" s="60"/>
      <c r="U4" s="60"/>
    </row>
    <row r="5" spans="2:21" x14ac:dyDescent="0.35">
      <c r="B5" s="60"/>
      <c r="C5" s="246" t="s">
        <v>3</v>
      </c>
      <c r="D5" s="246" t="s">
        <v>1</v>
      </c>
      <c r="E5" s="243" t="s">
        <v>5</v>
      </c>
      <c r="F5" s="245"/>
      <c r="G5" s="246" t="s">
        <v>18</v>
      </c>
      <c r="H5" s="60"/>
      <c r="I5" s="246" t="s">
        <v>3</v>
      </c>
      <c r="J5" s="246" t="s">
        <v>1</v>
      </c>
      <c r="K5" s="243" t="s">
        <v>5</v>
      </c>
      <c r="L5" s="244"/>
      <c r="M5" s="244"/>
      <c r="N5" s="244"/>
      <c r="O5" s="244"/>
      <c r="P5" s="244"/>
      <c r="Q5" s="244"/>
      <c r="R5" s="244"/>
      <c r="S5" s="245"/>
      <c r="T5" s="246" t="s">
        <v>18</v>
      </c>
      <c r="U5" s="60"/>
    </row>
    <row r="6" spans="2:21" x14ac:dyDescent="0.35">
      <c r="B6" s="60"/>
      <c r="C6" s="247"/>
      <c r="D6" s="247"/>
      <c r="E6" s="61" t="s">
        <v>19</v>
      </c>
      <c r="F6" s="61" t="s">
        <v>92</v>
      </c>
      <c r="G6" s="247"/>
      <c r="H6" s="60"/>
      <c r="I6" s="247"/>
      <c r="J6" s="247"/>
      <c r="K6" s="61" t="s">
        <v>19</v>
      </c>
      <c r="L6" s="61" t="s">
        <v>7</v>
      </c>
      <c r="M6" s="61" t="s">
        <v>8</v>
      </c>
      <c r="N6" s="61" t="s">
        <v>9</v>
      </c>
      <c r="O6" s="61" t="s">
        <v>11</v>
      </c>
      <c r="P6" s="61" t="s">
        <v>6</v>
      </c>
      <c r="Q6" s="61" t="s">
        <v>12</v>
      </c>
      <c r="R6" s="61" t="s">
        <v>13</v>
      </c>
      <c r="S6" s="61" t="s">
        <v>10</v>
      </c>
      <c r="T6" s="247"/>
      <c r="U6" s="60"/>
    </row>
    <row r="7" spans="2:21" x14ac:dyDescent="0.35">
      <c r="B7" s="60"/>
      <c r="C7" s="248" t="s">
        <v>143</v>
      </c>
      <c r="D7" s="96" t="s">
        <v>27</v>
      </c>
      <c r="E7" s="98">
        <f t="shared" ref="E7:E12" si="0">K7</f>
        <v>705248</v>
      </c>
      <c r="F7" s="98">
        <f t="shared" ref="F7:F12" si="1">SUM(L7:S7)</f>
        <v>1078475</v>
      </c>
      <c r="G7" s="98">
        <f t="shared" ref="G7:G12" si="2">SUM(E7:F7)</f>
        <v>1783723</v>
      </c>
      <c r="H7" s="60"/>
      <c r="I7" s="248" t="s">
        <v>143</v>
      </c>
      <c r="J7" s="96" t="s">
        <v>27</v>
      </c>
      <c r="K7" s="98">
        <v>705248</v>
      </c>
      <c r="L7" s="98">
        <v>195671</v>
      </c>
      <c r="M7" s="98">
        <v>750302</v>
      </c>
      <c r="N7" s="98">
        <v>59315</v>
      </c>
      <c r="O7" s="98">
        <v>0</v>
      </c>
      <c r="P7" s="98">
        <v>11930</v>
      </c>
      <c r="Q7" s="98">
        <v>0</v>
      </c>
      <c r="R7" s="98">
        <v>0</v>
      </c>
      <c r="S7" s="98">
        <v>61257</v>
      </c>
      <c r="T7" s="98">
        <f t="shared" ref="T7:T12" si="3">SUM(K7:S7)</f>
        <v>1783723</v>
      </c>
      <c r="U7" s="60"/>
    </row>
    <row r="8" spans="2:21" x14ac:dyDescent="0.35">
      <c r="B8" s="60"/>
      <c r="C8" s="249"/>
      <c r="D8" s="62" t="s">
        <v>22</v>
      </c>
      <c r="E8" s="41">
        <f t="shared" si="0"/>
        <v>0</v>
      </c>
      <c r="F8" s="99">
        <f t="shared" si="1"/>
        <v>2020129</v>
      </c>
      <c r="G8" s="99">
        <f>SUM(E8:F8)</f>
        <v>2020129</v>
      </c>
      <c r="H8" s="60"/>
      <c r="I8" s="249"/>
      <c r="J8" s="62" t="s">
        <v>22</v>
      </c>
      <c r="K8" s="41">
        <v>0</v>
      </c>
      <c r="L8" s="99">
        <v>141536</v>
      </c>
      <c r="M8" s="99">
        <v>939045</v>
      </c>
      <c r="N8" s="99">
        <v>0</v>
      </c>
      <c r="O8" s="99">
        <v>326150</v>
      </c>
      <c r="P8" s="99">
        <v>0</v>
      </c>
      <c r="Q8" s="99">
        <v>244613</v>
      </c>
      <c r="R8" s="99">
        <v>244613</v>
      </c>
      <c r="S8" s="99">
        <v>124172</v>
      </c>
      <c r="T8" s="99">
        <f t="shared" si="3"/>
        <v>2020129</v>
      </c>
      <c r="U8" s="60"/>
    </row>
    <row r="9" spans="2:21" x14ac:dyDescent="0.35">
      <c r="B9" s="60"/>
      <c r="C9" s="250"/>
      <c r="D9" s="97" t="s">
        <v>2</v>
      </c>
      <c r="E9" s="100">
        <f t="shared" si="0"/>
        <v>2907588</v>
      </c>
      <c r="F9" s="100">
        <f t="shared" si="1"/>
        <v>1010940</v>
      </c>
      <c r="G9" s="100">
        <f t="shared" si="2"/>
        <v>3918528</v>
      </c>
      <c r="H9" s="60"/>
      <c r="I9" s="250"/>
      <c r="J9" s="97" t="s">
        <v>2</v>
      </c>
      <c r="K9" s="100">
        <v>2907588</v>
      </c>
      <c r="L9" s="100">
        <v>386738</v>
      </c>
      <c r="M9" s="100">
        <v>360615</v>
      </c>
      <c r="N9" s="100">
        <v>251657</v>
      </c>
      <c r="O9" s="100">
        <v>0</v>
      </c>
      <c r="P9" s="100">
        <v>11930</v>
      </c>
      <c r="Q9" s="100">
        <v>0</v>
      </c>
      <c r="R9" s="100">
        <v>0</v>
      </c>
      <c r="S9" s="100">
        <v>0</v>
      </c>
      <c r="T9" s="100">
        <f t="shared" si="3"/>
        <v>3918528</v>
      </c>
      <c r="U9" s="60"/>
    </row>
    <row r="10" spans="2:21" x14ac:dyDescent="0.35">
      <c r="B10" s="60"/>
      <c r="C10" s="251" t="s">
        <v>95</v>
      </c>
      <c r="D10" s="96" t="s">
        <v>27</v>
      </c>
      <c r="E10" s="98">
        <f t="shared" si="0"/>
        <v>1394748</v>
      </c>
      <c r="F10" s="98">
        <f t="shared" si="1"/>
        <v>127672</v>
      </c>
      <c r="G10" s="98">
        <f t="shared" si="2"/>
        <v>1522420</v>
      </c>
      <c r="H10" s="60"/>
      <c r="I10" s="251" t="s">
        <v>95</v>
      </c>
      <c r="J10" s="96" t="s">
        <v>27</v>
      </c>
      <c r="K10" s="98">
        <v>1394748</v>
      </c>
      <c r="L10" s="98">
        <v>127672</v>
      </c>
      <c r="M10" s="98">
        <v>0</v>
      </c>
      <c r="N10" s="98">
        <v>0</v>
      </c>
      <c r="O10" s="98">
        <v>0</v>
      </c>
      <c r="P10" s="98">
        <v>0</v>
      </c>
      <c r="Q10" s="98">
        <v>0</v>
      </c>
      <c r="R10" s="98"/>
      <c r="S10" s="98">
        <v>0</v>
      </c>
      <c r="T10" s="98">
        <f t="shared" si="3"/>
        <v>1522420</v>
      </c>
      <c r="U10" s="60"/>
    </row>
    <row r="11" spans="2:21" x14ac:dyDescent="0.35">
      <c r="B11" s="60"/>
      <c r="C11" s="252"/>
      <c r="D11" s="62" t="s">
        <v>22</v>
      </c>
      <c r="E11" s="41">
        <f t="shared" si="0"/>
        <v>0</v>
      </c>
      <c r="F11" s="99">
        <f t="shared" si="1"/>
        <v>254718</v>
      </c>
      <c r="G11" s="99">
        <f t="shared" si="2"/>
        <v>254718</v>
      </c>
      <c r="H11" s="60"/>
      <c r="I11" s="252"/>
      <c r="J11" s="62" t="s">
        <v>22</v>
      </c>
      <c r="K11" s="41">
        <v>0</v>
      </c>
      <c r="L11" s="99">
        <v>132011</v>
      </c>
      <c r="M11" s="101"/>
      <c r="N11" s="99">
        <v>0</v>
      </c>
      <c r="O11" s="99">
        <v>0</v>
      </c>
      <c r="P11" s="99">
        <v>0</v>
      </c>
      <c r="Q11" s="99">
        <v>0</v>
      </c>
      <c r="R11" s="99">
        <v>122707</v>
      </c>
      <c r="S11" s="99">
        <v>0</v>
      </c>
      <c r="T11" s="99">
        <f t="shared" si="3"/>
        <v>254718</v>
      </c>
      <c r="U11" s="60"/>
    </row>
    <row r="12" spans="2:21" x14ac:dyDescent="0.35">
      <c r="B12" s="60"/>
      <c r="C12" s="253"/>
      <c r="D12" s="97" t="s">
        <v>2</v>
      </c>
      <c r="E12" s="100">
        <f t="shared" si="0"/>
        <v>3612713</v>
      </c>
      <c r="F12" s="100">
        <f t="shared" si="1"/>
        <v>1007574</v>
      </c>
      <c r="G12" s="100">
        <f t="shared" si="2"/>
        <v>4620287</v>
      </c>
      <c r="H12" s="60"/>
      <c r="I12" s="253"/>
      <c r="J12" s="97" t="s">
        <v>2</v>
      </c>
      <c r="K12" s="100">
        <v>3612713</v>
      </c>
      <c r="L12" s="100">
        <v>1007574</v>
      </c>
      <c r="M12" s="100">
        <v>0</v>
      </c>
      <c r="N12" s="100">
        <v>0</v>
      </c>
      <c r="O12" s="100">
        <v>0</v>
      </c>
      <c r="P12" s="100">
        <v>0</v>
      </c>
      <c r="Q12" s="100">
        <v>0</v>
      </c>
      <c r="R12" s="100"/>
      <c r="S12" s="100">
        <v>0</v>
      </c>
      <c r="T12" s="100">
        <f t="shared" si="3"/>
        <v>4620287</v>
      </c>
      <c r="U12" s="60"/>
    </row>
    <row r="13" spans="2:21" x14ac:dyDescent="0.35">
      <c r="B13" s="60"/>
      <c r="C13" s="243" t="s">
        <v>18</v>
      </c>
      <c r="D13" s="245"/>
      <c r="E13" s="63">
        <f>SUM(E7:E12)</f>
        <v>8620297</v>
      </c>
      <c r="F13" s="63">
        <f>SUM(F7:F12)</f>
        <v>5499508</v>
      </c>
      <c r="G13" s="64">
        <f>SUM(G7:G12)</f>
        <v>14119805</v>
      </c>
      <c r="H13" s="60"/>
      <c r="I13" s="243" t="s">
        <v>18</v>
      </c>
      <c r="J13" s="245"/>
      <c r="K13" s="63">
        <f>SUM(K7:K12)</f>
        <v>8620297</v>
      </c>
      <c r="L13" s="63">
        <f>SUM(L7:L12)</f>
        <v>1991202</v>
      </c>
      <c r="M13" s="63">
        <f>SUM(M7:M12)</f>
        <v>2049962</v>
      </c>
      <c r="N13" s="63">
        <f t="shared" ref="N13:S13" si="4">SUM(N7:N12)</f>
        <v>310972</v>
      </c>
      <c r="O13" s="63">
        <f t="shared" si="4"/>
        <v>326150</v>
      </c>
      <c r="P13" s="63">
        <f t="shared" si="4"/>
        <v>23860</v>
      </c>
      <c r="Q13" s="63">
        <f t="shared" si="4"/>
        <v>244613</v>
      </c>
      <c r="R13" s="63">
        <f t="shared" si="4"/>
        <v>367320</v>
      </c>
      <c r="S13" s="63">
        <f t="shared" si="4"/>
        <v>185429</v>
      </c>
      <c r="T13" s="64">
        <f>SUM(T7:T12)</f>
        <v>14119805</v>
      </c>
      <c r="U13" s="60"/>
    </row>
    <row r="14" spans="2:21" x14ac:dyDescent="0.35">
      <c r="B14" s="60"/>
      <c r="C14" s="60"/>
      <c r="D14" s="60"/>
      <c r="E14" s="60"/>
      <c r="F14" s="60"/>
      <c r="G14" s="60"/>
      <c r="H14" s="60"/>
      <c r="I14" s="60"/>
      <c r="J14" s="60"/>
      <c r="K14" s="60"/>
      <c r="L14" s="60"/>
      <c r="M14" s="60"/>
      <c r="N14" s="60"/>
      <c r="O14" s="60"/>
      <c r="P14" s="60"/>
      <c r="Q14" s="60"/>
      <c r="R14" s="60"/>
      <c r="S14" s="60"/>
      <c r="T14" s="60"/>
      <c r="U14" s="60"/>
    </row>
    <row r="15" spans="2:21" x14ac:dyDescent="0.35">
      <c r="B15" s="60"/>
      <c r="C15" s="60" t="s">
        <v>127</v>
      </c>
      <c r="D15" s="60"/>
      <c r="E15" s="60"/>
      <c r="F15" s="60"/>
      <c r="G15" s="60"/>
      <c r="H15" s="60"/>
      <c r="I15" s="60" t="s">
        <v>127</v>
      </c>
      <c r="J15" s="60"/>
      <c r="K15" s="60"/>
      <c r="L15" s="60"/>
      <c r="M15" s="60"/>
      <c r="N15" s="60"/>
      <c r="O15" s="60"/>
      <c r="P15" s="60"/>
      <c r="Q15" s="60"/>
      <c r="R15" s="60"/>
      <c r="S15" s="60"/>
      <c r="T15" s="60"/>
      <c r="U15" s="60"/>
    </row>
    <row r="16" spans="2:21" x14ac:dyDescent="0.35">
      <c r="B16" s="60"/>
      <c r="C16" s="246" t="s">
        <v>3</v>
      </c>
      <c r="D16" s="246" t="s">
        <v>1</v>
      </c>
      <c r="E16" s="243" t="s">
        <v>5</v>
      </c>
      <c r="F16" s="245"/>
      <c r="G16" s="246" t="s">
        <v>18</v>
      </c>
      <c r="H16" s="60"/>
      <c r="I16" s="246" t="s">
        <v>3</v>
      </c>
      <c r="J16" s="246" t="s">
        <v>1</v>
      </c>
      <c r="K16" s="243" t="s">
        <v>5</v>
      </c>
      <c r="L16" s="244"/>
      <c r="M16" s="244"/>
      <c r="N16" s="244"/>
      <c r="O16" s="244"/>
      <c r="P16" s="244"/>
      <c r="Q16" s="244"/>
      <c r="R16" s="244"/>
      <c r="S16" s="245"/>
      <c r="T16" s="246" t="s">
        <v>18</v>
      </c>
      <c r="U16" s="60"/>
    </row>
    <row r="17" spans="2:21" x14ac:dyDescent="0.35">
      <c r="B17" s="60"/>
      <c r="C17" s="247"/>
      <c r="D17" s="247"/>
      <c r="E17" s="61" t="s">
        <v>19</v>
      </c>
      <c r="F17" s="61" t="s">
        <v>92</v>
      </c>
      <c r="G17" s="247"/>
      <c r="H17" s="60"/>
      <c r="I17" s="247"/>
      <c r="J17" s="247"/>
      <c r="K17" s="61" t="s">
        <v>19</v>
      </c>
      <c r="L17" s="61" t="s">
        <v>7</v>
      </c>
      <c r="M17" s="61" t="s">
        <v>8</v>
      </c>
      <c r="N17" s="61" t="s">
        <v>9</v>
      </c>
      <c r="O17" s="61" t="s">
        <v>11</v>
      </c>
      <c r="P17" s="61" t="s">
        <v>6</v>
      </c>
      <c r="Q17" s="61" t="s">
        <v>12</v>
      </c>
      <c r="R17" s="61" t="s">
        <v>13</v>
      </c>
      <c r="S17" s="61" t="s">
        <v>10</v>
      </c>
      <c r="T17" s="247"/>
      <c r="U17" s="60"/>
    </row>
    <row r="18" spans="2:21" x14ac:dyDescent="0.35">
      <c r="B18" s="60"/>
      <c r="C18" s="248" t="s">
        <v>143</v>
      </c>
      <c r="D18" s="96" t="s">
        <v>27</v>
      </c>
      <c r="E18" s="65">
        <f t="shared" ref="E18:F20" si="5">E7/SUM(E$7:E$9)</f>
        <v>0.1952062036582895</v>
      </c>
      <c r="F18" s="65">
        <f>F7/SUM(F$7:F$9)</f>
        <v>0.26243179291911706</v>
      </c>
      <c r="G18" s="65"/>
      <c r="H18" s="60"/>
      <c r="I18" s="248" t="s">
        <v>143</v>
      </c>
      <c r="J18" s="96" t="s">
        <v>27</v>
      </c>
      <c r="K18" s="98"/>
      <c r="L18" s="65">
        <f>L7/SUM($L7:$S7)</f>
        <v>0.18143304202693619</v>
      </c>
      <c r="M18" s="65">
        <f>M7/SUM($L7:$S7)</f>
        <v>0.69570643733048976</v>
      </c>
      <c r="N18" s="65">
        <f t="shared" ref="N18:S24" si="6">N7/SUM($L7:$S7)</f>
        <v>5.4998956860381559E-2</v>
      </c>
      <c r="O18" s="65">
        <f t="shared" si="6"/>
        <v>0</v>
      </c>
      <c r="P18" s="65">
        <f t="shared" si="6"/>
        <v>1.1061916131574678E-2</v>
      </c>
      <c r="Q18" s="65">
        <f t="shared" si="6"/>
        <v>0</v>
      </c>
      <c r="R18" s="65">
        <f t="shared" si="6"/>
        <v>0</v>
      </c>
      <c r="S18" s="65">
        <f t="shared" si="6"/>
        <v>5.679964765061777E-2</v>
      </c>
      <c r="T18" s="65"/>
      <c r="U18" s="60"/>
    </row>
    <row r="19" spans="2:21" x14ac:dyDescent="0.35">
      <c r="B19" s="60"/>
      <c r="C19" s="249"/>
      <c r="D19" s="62" t="s">
        <v>22</v>
      </c>
      <c r="E19" s="66">
        <f t="shared" si="5"/>
        <v>0</v>
      </c>
      <c r="F19" s="67">
        <f>F8/SUM(F$7:F$9)</f>
        <v>0.49157011094174924</v>
      </c>
      <c r="G19" s="67"/>
      <c r="H19" s="60"/>
      <c r="I19" s="249"/>
      <c r="J19" s="62" t="s">
        <v>22</v>
      </c>
      <c r="K19" s="41"/>
      <c r="L19" s="67">
        <f>L8/SUM($L8:$S8)</f>
        <v>7.0062852421800784E-2</v>
      </c>
      <c r="M19" s="67">
        <f t="shared" ref="L19:M23" si="7">M8/SUM($L8:$S8)</f>
        <v>0.46484407678915557</v>
      </c>
      <c r="N19" s="67">
        <f t="shared" si="6"/>
        <v>0</v>
      </c>
      <c r="O19" s="67">
        <f t="shared" si="6"/>
        <v>0.16145008561334451</v>
      </c>
      <c r="P19" s="67">
        <f t="shared" si="6"/>
        <v>0</v>
      </c>
      <c r="Q19" s="67">
        <f t="shared" si="6"/>
        <v>0.12108781171895458</v>
      </c>
      <c r="R19" s="67">
        <f t="shared" si="6"/>
        <v>0.12108781171895458</v>
      </c>
      <c r="S19" s="67">
        <f t="shared" si="6"/>
        <v>6.1467361737790015E-2</v>
      </c>
      <c r="T19" s="67"/>
      <c r="U19" s="60"/>
    </row>
    <row r="20" spans="2:21" x14ac:dyDescent="0.35">
      <c r="B20" s="60"/>
      <c r="C20" s="250"/>
      <c r="D20" s="97" t="s">
        <v>2</v>
      </c>
      <c r="E20" s="68">
        <f t="shared" si="5"/>
        <v>0.80479379634171055</v>
      </c>
      <c r="F20" s="68">
        <f t="shared" si="5"/>
        <v>0.24599809613913368</v>
      </c>
      <c r="G20" s="68"/>
      <c r="H20" s="60"/>
      <c r="I20" s="250"/>
      <c r="J20" s="97" t="s">
        <v>2</v>
      </c>
      <c r="K20" s="100"/>
      <c r="L20" s="68">
        <f t="shared" si="7"/>
        <v>0.38255287158486162</v>
      </c>
      <c r="M20" s="68">
        <f t="shared" si="7"/>
        <v>0.35671256454388983</v>
      </c>
      <c r="N20" s="68">
        <f t="shared" si="6"/>
        <v>0.24893366569727185</v>
      </c>
      <c r="O20" s="68">
        <f t="shared" si="6"/>
        <v>0</v>
      </c>
      <c r="P20" s="68">
        <f t="shared" si="6"/>
        <v>1.1800898173976695E-2</v>
      </c>
      <c r="Q20" s="68">
        <f t="shared" si="6"/>
        <v>0</v>
      </c>
      <c r="R20" s="68">
        <f t="shared" si="6"/>
        <v>0</v>
      </c>
      <c r="S20" s="68">
        <f t="shared" si="6"/>
        <v>0</v>
      </c>
      <c r="T20" s="68"/>
      <c r="U20" s="60"/>
    </row>
    <row r="21" spans="2:21" x14ac:dyDescent="0.35">
      <c r="B21" s="60"/>
      <c r="C21" s="251" t="s">
        <v>95</v>
      </c>
      <c r="D21" s="96" t="s">
        <v>27</v>
      </c>
      <c r="E21" s="65">
        <f t="shared" ref="E21:F23" si="8">E10/SUM(E$10:E$12)</f>
        <v>0.27853397160756721</v>
      </c>
      <c r="F21" s="65">
        <f t="shared" si="8"/>
        <v>9.1852738632079683E-2</v>
      </c>
      <c r="G21" s="65"/>
      <c r="H21" s="60"/>
      <c r="I21" s="251" t="s">
        <v>95</v>
      </c>
      <c r="J21" s="96" t="s">
        <v>27</v>
      </c>
      <c r="K21" s="98"/>
      <c r="L21" s="65">
        <f t="shared" si="7"/>
        <v>1</v>
      </c>
      <c r="M21" s="65">
        <f t="shared" si="7"/>
        <v>0</v>
      </c>
      <c r="N21" s="65">
        <f t="shared" si="6"/>
        <v>0</v>
      </c>
      <c r="O21" s="65">
        <f t="shared" si="6"/>
        <v>0</v>
      </c>
      <c r="P21" s="65">
        <f t="shared" si="6"/>
        <v>0</v>
      </c>
      <c r="Q21" s="65">
        <f t="shared" si="6"/>
        <v>0</v>
      </c>
      <c r="R21" s="65">
        <f t="shared" si="6"/>
        <v>0</v>
      </c>
      <c r="S21" s="65">
        <f t="shared" si="6"/>
        <v>0</v>
      </c>
      <c r="T21" s="65"/>
      <c r="U21" s="60"/>
    </row>
    <row r="22" spans="2:21" x14ac:dyDescent="0.35">
      <c r="B22" s="60"/>
      <c r="C22" s="252"/>
      <c r="D22" s="62" t="s">
        <v>22</v>
      </c>
      <c r="E22" s="66">
        <f t="shared" si="8"/>
        <v>0</v>
      </c>
      <c r="F22" s="67">
        <f t="shared" si="8"/>
        <v>0.1832551058876345</v>
      </c>
      <c r="G22" s="67"/>
      <c r="H22" s="60"/>
      <c r="I22" s="252"/>
      <c r="J22" s="62" t="s">
        <v>22</v>
      </c>
      <c r="K22" s="41"/>
      <c r="L22" s="67">
        <f t="shared" si="7"/>
        <v>0.51826333435407002</v>
      </c>
      <c r="M22" s="67">
        <f t="shared" si="7"/>
        <v>0</v>
      </c>
      <c r="N22" s="67">
        <f t="shared" si="6"/>
        <v>0</v>
      </c>
      <c r="O22" s="67">
        <f t="shared" si="6"/>
        <v>0</v>
      </c>
      <c r="P22" s="67">
        <f t="shared" si="6"/>
        <v>0</v>
      </c>
      <c r="Q22" s="67">
        <f t="shared" si="6"/>
        <v>0</v>
      </c>
      <c r="R22" s="67">
        <f t="shared" si="6"/>
        <v>0.48173666564592998</v>
      </c>
      <c r="S22" s="67">
        <f t="shared" si="6"/>
        <v>0</v>
      </c>
      <c r="T22" s="67"/>
      <c r="U22" s="60"/>
    </row>
    <row r="23" spans="2:21" x14ac:dyDescent="0.35">
      <c r="B23" s="60"/>
      <c r="C23" s="253"/>
      <c r="D23" s="97" t="s">
        <v>2</v>
      </c>
      <c r="E23" s="68">
        <f t="shared" si="8"/>
        <v>0.72146602839243279</v>
      </c>
      <c r="F23" s="68">
        <f t="shared" si="8"/>
        <v>0.72489215548028585</v>
      </c>
      <c r="G23" s="68"/>
      <c r="H23" s="60"/>
      <c r="I23" s="253"/>
      <c r="J23" s="97" t="s">
        <v>2</v>
      </c>
      <c r="K23" s="100"/>
      <c r="L23" s="68">
        <f t="shared" si="7"/>
        <v>1</v>
      </c>
      <c r="M23" s="68">
        <f t="shared" si="7"/>
        <v>0</v>
      </c>
      <c r="N23" s="68">
        <f t="shared" si="6"/>
        <v>0</v>
      </c>
      <c r="O23" s="68">
        <f t="shared" si="6"/>
        <v>0</v>
      </c>
      <c r="P23" s="68">
        <f t="shared" si="6"/>
        <v>0</v>
      </c>
      <c r="Q23" s="68">
        <f t="shared" si="6"/>
        <v>0</v>
      </c>
      <c r="R23" s="68">
        <f t="shared" si="6"/>
        <v>0</v>
      </c>
      <c r="S23" s="68">
        <f t="shared" si="6"/>
        <v>0</v>
      </c>
      <c r="T23" s="68"/>
      <c r="U23" s="60"/>
    </row>
    <row r="24" spans="2:21" x14ac:dyDescent="0.35">
      <c r="B24" s="60"/>
      <c r="C24" s="243" t="s">
        <v>18</v>
      </c>
      <c r="D24" s="245"/>
      <c r="E24" s="69">
        <f>SUM(E18:E23)</f>
        <v>2</v>
      </c>
      <c r="F24" s="69">
        <f>SUM(F18:F23)</f>
        <v>2</v>
      </c>
      <c r="G24" s="70"/>
      <c r="H24" s="60"/>
      <c r="I24" s="243" t="s">
        <v>18</v>
      </c>
      <c r="J24" s="245"/>
      <c r="K24" s="63"/>
      <c r="L24" s="69">
        <f>L13/SUM($L13:$S13)</f>
        <v>0.36206911600092229</v>
      </c>
      <c r="M24" s="69">
        <f>M13/SUM($L13:$S13)</f>
        <v>0.37275370814989267</v>
      </c>
      <c r="N24" s="69">
        <f t="shared" si="6"/>
        <v>5.6545421881375568E-2</v>
      </c>
      <c r="O24" s="69">
        <f t="shared" si="6"/>
        <v>5.9305305129113368E-2</v>
      </c>
      <c r="P24" s="69">
        <f t="shared" si="6"/>
        <v>4.3385699229822015E-3</v>
      </c>
      <c r="Q24" s="69">
        <f t="shared" si="6"/>
        <v>4.4479069764058896E-2</v>
      </c>
      <c r="R24" s="69">
        <f t="shared" si="6"/>
        <v>6.679142934240663E-2</v>
      </c>
      <c r="S24" s="69">
        <f t="shared" si="6"/>
        <v>3.3717379809248389E-2</v>
      </c>
      <c r="T24" s="70"/>
      <c r="U24" s="60"/>
    </row>
    <row r="25" spans="2:21" x14ac:dyDescent="0.35">
      <c r="B25" s="60"/>
      <c r="C25" s="60"/>
      <c r="D25" s="60"/>
      <c r="E25" s="60"/>
      <c r="F25" s="60"/>
      <c r="G25" s="60"/>
      <c r="H25" s="60"/>
      <c r="I25" s="60"/>
      <c r="J25" s="60"/>
      <c r="K25" s="60"/>
      <c r="L25" s="60"/>
      <c r="M25" s="60"/>
      <c r="N25" s="60"/>
      <c r="O25" s="60"/>
      <c r="P25" s="60"/>
      <c r="Q25" s="60"/>
      <c r="R25" s="60"/>
      <c r="S25" s="60"/>
      <c r="T25" s="60"/>
      <c r="U25" s="60"/>
    </row>
    <row r="27" spans="2:21" x14ac:dyDescent="0.35">
      <c r="C27" s="59" t="s">
        <v>128</v>
      </c>
    </row>
    <row r="28" spans="2:21" x14ac:dyDescent="0.35">
      <c r="B28" s="71"/>
      <c r="C28" s="71"/>
      <c r="D28" s="71"/>
      <c r="E28" s="71"/>
      <c r="F28" s="71"/>
      <c r="G28" s="71"/>
      <c r="H28" s="71"/>
    </row>
    <row r="29" spans="2:21" x14ac:dyDescent="0.35">
      <c r="B29" s="71"/>
      <c r="C29" s="71" t="s">
        <v>137</v>
      </c>
      <c r="D29" s="71"/>
      <c r="E29" s="71"/>
      <c r="F29" s="71"/>
      <c r="G29" s="71"/>
      <c r="H29" s="71"/>
    </row>
    <row r="30" spans="2:21" x14ac:dyDescent="0.35">
      <c r="B30" s="71"/>
      <c r="C30" s="254" t="s">
        <v>3</v>
      </c>
      <c r="D30" s="254" t="s">
        <v>17</v>
      </c>
      <c r="E30" s="256" t="s">
        <v>5</v>
      </c>
      <c r="F30" s="257"/>
      <c r="G30" s="254" t="s">
        <v>18</v>
      </c>
      <c r="H30" s="71"/>
    </row>
    <row r="31" spans="2:21" x14ac:dyDescent="0.35">
      <c r="B31" s="71"/>
      <c r="C31" s="255"/>
      <c r="D31" s="255"/>
      <c r="E31" s="72" t="s">
        <v>19</v>
      </c>
      <c r="F31" s="72" t="s">
        <v>92</v>
      </c>
      <c r="G31" s="255"/>
      <c r="H31" s="71"/>
    </row>
    <row r="32" spans="2:21" x14ac:dyDescent="0.35">
      <c r="B32" s="71"/>
      <c r="C32" s="261" t="s">
        <v>4</v>
      </c>
      <c r="D32" s="94" t="s">
        <v>142</v>
      </c>
      <c r="E32" s="73">
        <f>'Ajuste anuario'!D38</f>
        <v>4258000</v>
      </c>
      <c r="F32" s="73">
        <f>'Ajuste anuario'!D39</f>
        <v>4904020</v>
      </c>
      <c r="G32" s="73">
        <f>F32+E32</f>
        <v>9162020</v>
      </c>
      <c r="H32" s="71"/>
    </row>
    <row r="33" spans="2:21" x14ac:dyDescent="0.35">
      <c r="B33" s="71"/>
      <c r="C33" s="262"/>
      <c r="D33" s="95" t="s">
        <v>141</v>
      </c>
      <c r="E33" s="74">
        <f>'Ajuste anuario'!D43</f>
        <v>5854080</v>
      </c>
      <c r="F33" s="74">
        <f>'Ajuste anuario'!D44</f>
        <v>4165320</v>
      </c>
      <c r="G33" s="74">
        <f>F33+E33</f>
        <v>10019400</v>
      </c>
      <c r="H33" s="71"/>
    </row>
    <row r="34" spans="2:21" x14ac:dyDescent="0.35">
      <c r="B34" s="71"/>
      <c r="C34" s="261" t="s">
        <v>15</v>
      </c>
      <c r="D34" s="94" t="s">
        <v>142</v>
      </c>
      <c r="E34" s="73">
        <f>'Ajuste anuario'!D31</f>
        <v>2900000</v>
      </c>
      <c r="F34" s="73">
        <f>'Ajuste anuario'!D32</f>
        <v>537360.30938586325</v>
      </c>
      <c r="G34" s="73">
        <f>F34+E34</f>
        <v>3437360.3093858631</v>
      </c>
      <c r="H34" s="71"/>
    </row>
    <row r="35" spans="2:21" x14ac:dyDescent="0.35">
      <c r="B35" s="71"/>
      <c r="C35" s="262"/>
      <c r="D35" s="95" t="s">
        <v>141</v>
      </c>
      <c r="E35" s="74">
        <f>'Ajuste anuario'!D34</f>
        <v>400000</v>
      </c>
      <c r="F35" s="74">
        <f>'Ajuste anuario'!D35</f>
        <v>751169.69061413687</v>
      </c>
      <c r="G35" s="74">
        <f>F35+E35</f>
        <v>1151169.6906141369</v>
      </c>
      <c r="H35" s="71"/>
    </row>
    <row r="36" spans="2:21" x14ac:dyDescent="0.35">
      <c r="B36" s="71"/>
      <c r="C36" s="256" t="s">
        <v>18</v>
      </c>
      <c r="D36" s="257"/>
      <c r="E36" s="75">
        <f>SUM(E32:E35)</f>
        <v>13412080</v>
      </c>
      <c r="F36" s="75">
        <f>SUM(F32:F35)</f>
        <v>10357870</v>
      </c>
      <c r="G36" s="93">
        <f>SUM(G32:G35)</f>
        <v>23769950</v>
      </c>
      <c r="H36" s="71"/>
    </row>
    <row r="37" spans="2:21" x14ac:dyDescent="0.35">
      <c r="B37" s="71"/>
      <c r="C37" s="71"/>
      <c r="D37" s="71"/>
      <c r="E37" s="76">
        <f>E36/G36</f>
        <v>0.56424519193351275</v>
      </c>
      <c r="F37" s="76">
        <f>F36/G36</f>
        <v>0.43575480806648731</v>
      </c>
      <c r="G37" s="71"/>
      <c r="H37" s="71"/>
    </row>
    <row r="39" spans="2:21" x14ac:dyDescent="0.35">
      <c r="C39" s="59" t="s">
        <v>129</v>
      </c>
    </row>
    <row r="40" spans="2:21" x14ac:dyDescent="0.35">
      <c r="B40" s="77"/>
      <c r="C40" s="77"/>
      <c r="D40" s="77"/>
      <c r="E40" s="77"/>
      <c r="F40" s="77"/>
      <c r="G40" s="77"/>
      <c r="H40" s="77"/>
      <c r="I40" s="77"/>
      <c r="J40" s="77"/>
      <c r="K40" s="77"/>
      <c r="L40" s="77"/>
      <c r="M40" s="77"/>
      <c r="N40" s="77"/>
      <c r="O40" s="77"/>
      <c r="P40" s="77"/>
      <c r="Q40" s="77"/>
      <c r="R40" s="77"/>
      <c r="S40" s="77"/>
      <c r="T40" s="77"/>
      <c r="U40" s="77"/>
    </row>
    <row r="41" spans="2:21" x14ac:dyDescent="0.35">
      <c r="B41" s="77"/>
      <c r="C41" s="77" t="s">
        <v>130</v>
      </c>
      <c r="D41" s="77"/>
      <c r="E41" s="77"/>
      <c r="F41" s="77"/>
      <c r="G41" s="77"/>
      <c r="H41" s="77"/>
      <c r="I41" s="77" t="s">
        <v>131</v>
      </c>
      <c r="J41" s="77"/>
      <c r="K41" s="77"/>
      <c r="L41" s="77"/>
      <c r="M41" s="77"/>
      <c r="N41" s="77"/>
      <c r="O41" s="77"/>
      <c r="P41" s="77"/>
      <c r="Q41" s="77"/>
      <c r="R41" s="77"/>
      <c r="S41" s="77"/>
      <c r="T41" s="77"/>
      <c r="U41" s="77"/>
    </row>
    <row r="42" spans="2:21" x14ac:dyDescent="0.35">
      <c r="B42" s="77"/>
      <c r="C42" s="263" t="s">
        <v>3</v>
      </c>
      <c r="D42" s="263" t="s">
        <v>1</v>
      </c>
      <c r="E42" s="265" t="s">
        <v>5</v>
      </c>
      <c r="F42" s="266"/>
      <c r="G42" s="263" t="s">
        <v>18</v>
      </c>
      <c r="H42" s="77"/>
      <c r="I42" s="263" t="s">
        <v>3</v>
      </c>
      <c r="J42" s="263" t="s">
        <v>1</v>
      </c>
      <c r="K42" s="265" t="s">
        <v>5</v>
      </c>
      <c r="L42" s="267"/>
      <c r="M42" s="267"/>
      <c r="N42" s="267"/>
      <c r="O42" s="267"/>
      <c r="P42" s="267"/>
      <c r="Q42" s="267"/>
      <c r="R42" s="267"/>
      <c r="S42" s="266"/>
      <c r="T42" s="263" t="s">
        <v>18</v>
      </c>
      <c r="U42" s="77"/>
    </row>
    <row r="43" spans="2:21" x14ac:dyDescent="0.35">
      <c r="B43" s="77"/>
      <c r="C43" s="264"/>
      <c r="D43" s="264"/>
      <c r="E43" s="78" t="s">
        <v>19</v>
      </c>
      <c r="F43" s="78" t="s">
        <v>92</v>
      </c>
      <c r="G43" s="264"/>
      <c r="H43" s="77"/>
      <c r="I43" s="264"/>
      <c r="J43" s="264"/>
      <c r="K43" s="78" t="s">
        <v>19</v>
      </c>
      <c r="L43" s="78" t="s">
        <v>7</v>
      </c>
      <c r="M43" s="78" t="s">
        <v>8</v>
      </c>
      <c r="N43" s="78" t="s">
        <v>9</v>
      </c>
      <c r="O43" s="78" t="s">
        <v>11</v>
      </c>
      <c r="P43" s="78" t="s">
        <v>6</v>
      </c>
      <c r="Q43" s="78" t="s">
        <v>12</v>
      </c>
      <c r="R43" s="78" t="s">
        <v>13</v>
      </c>
      <c r="S43" s="78" t="s">
        <v>10</v>
      </c>
      <c r="T43" s="264"/>
      <c r="U43" s="77"/>
    </row>
    <row r="44" spans="2:21" x14ac:dyDescent="0.35">
      <c r="B44" s="77"/>
      <c r="C44" s="258" t="s">
        <v>143</v>
      </c>
      <c r="D44" s="88" t="s">
        <v>27</v>
      </c>
      <c r="E44" s="90">
        <f t="shared" ref="E44:F46" si="9">E$32*E18</f>
        <v>831188.01517699671</v>
      </c>
      <c r="F44" s="90">
        <f>F$32*F18</f>
        <v>1286970.7611112085</v>
      </c>
      <c r="G44" s="90">
        <f t="shared" ref="G44:G49" si="10">SUM(E44:F44)</f>
        <v>2118158.7762882053</v>
      </c>
      <c r="H44" s="77"/>
      <c r="I44" s="258" t="s">
        <v>143</v>
      </c>
      <c r="J44" s="88" t="s">
        <v>27</v>
      </c>
      <c r="K44" s="90">
        <f t="shared" ref="K44:K49" si="11">E44</f>
        <v>831188.01517699671</v>
      </c>
      <c r="L44" s="90">
        <f t="shared" ref="L44:L49" si="12">$F44*L18</f>
        <v>233499.02018812794</v>
      </c>
      <c r="M44" s="90">
        <f t="shared" ref="M44:S47" si="13">$F44*M18</f>
        <v>895353.84316118772</v>
      </c>
      <c r="N44" s="90">
        <f t="shared" si="13"/>
        <v>70782.04937092778</v>
      </c>
      <c r="O44" s="90">
        <f t="shared" si="13"/>
        <v>0</v>
      </c>
      <c r="P44" s="90">
        <f t="shared" si="13"/>
        <v>14236.362623201017</v>
      </c>
      <c r="Q44" s="90">
        <f t="shared" si="13"/>
        <v>0</v>
      </c>
      <c r="R44" s="90">
        <f t="shared" si="13"/>
        <v>0</v>
      </c>
      <c r="S44" s="90">
        <f t="shared" si="13"/>
        <v>73099.48576776401</v>
      </c>
      <c r="T44" s="90">
        <f t="shared" ref="T44:T49" si="14">SUM(K44:S44)</f>
        <v>2118158.7762882048</v>
      </c>
      <c r="U44" s="77"/>
    </row>
    <row r="45" spans="2:21" x14ac:dyDescent="0.35">
      <c r="B45" s="77"/>
      <c r="C45" s="259"/>
      <c r="D45" s="79" t="s">
        <v>22</v>
      </c>
      <c r="E45" s="40">
        <f t="shared" si="9"/>
        <v>0</v>
      </c>
      <c r="F45" s="91">
        <f t="shared" si="9"/>
        <v>2410669.655460557</v>
      </c>
      <c r="G45" s="91">
        <f t="shared" si="10"/>
        <v>2410669.655460557</v>
      </c>
      <c r="H45" s="77"/>
      <c r="I45" s="259"/>
      <c r="J45" s="79" t="s">
        <v>22</v>
      </c>
      <c r="K45" s="40">
        <f t="shared" si="11"/>
        <v>0</v>
      </c>
      <c r="L45" s="91">
        <f t="shared" si="12"/>
        <v>168898.39230824634</v>
      </c>
      <c r="M45" s="91">
        <f t="shared" si="13"/>
        <v>1120585.5104361943</v>
      </c>
      <c r="N45" s="91">
        <f t="shared" si="13"/>
        <v>0</v>
      </c>
      <c r="O45" s="91">
        <f t="shared" si="13"/>
        <v>389202.82225959864</v>
      </c>
      <c r="P45" s="91">
        <f t="shared" si="13"/>
        <v>0</v>
      </c>
      <c r="Q45" s="91">
        <f t="shared" si="13"/>
        <v>291902.71335700504</v>
      </c>
      <c r="R45" s="91">
        <f t="shared" si="13"/>
        <v>291902.71335700504</v>
      </c>
      <c r="S45" s="91">
        <f t="shared" si="13"/>
        <v>148177.50374250769</v>
      </c>
      <c r="T45" s="91">
        <f t="shared" si="14"/>
        <v>2410669.655460557</v>
      </c>
      <c r="U45" s="77"/>
    </row>
    <row r="46" spans="2:21" x14ac:dyDescent="0.35">
      <c r="B46" s="77"/>
      <c r="C46" s="260"/>
      <c r="D46" s="89" t="s">
        <v>2</v>
      </c>
      <c r="E46" s="92">
        <f t="shared" si="9"/>
        <v>3426811.9848230034</v>
      </c>
      <c r="F46" s="92">
        <f t="shared" si="9"/>
        <v>1206379.5834282343</v>
      </c>
      <c r="G46" s="92">
        <f t="shared" si="10"/>
        <v>4633191.5682512373</v>
      </c>
      <c r="H46" s="77"/>
      <c r="I46" s="260"/>
      <c r="J46" s="89" t="s">
        <v>2</v>
      </c>
      <c r="K46" s="92">
        <f t="shared" si="11"/>
        <v>3426811.9848230034</v>
      </c>
      <c r="L46" s="92">
        <f t="shared" si="12"/>
        <v>461503.97386182018</v>
      </c>
      <c r="M46" s="92">
        <f t="shared" si="13"/>
        <v>430330.75501807494</v>
      </c>
      <c r="N46" s="92">
        <f t="shared" si="13"/>
        <v>300308.49192513817</v>
      </c>
      <c r="O46" s="92">
        <f t="shared" si="13"/>
        <v>0</v>
      </c>
      <c r="P46" s="92">
        <f t="shared" si="13"/>
        <v>14236.362623201016</v>
      </c>
      <c r="Q46" s="92">
        <f t="shared" si="13"/>
        <v>0</v>
      </c>
      <c r="R46" s="92">
        <f t="shared" si="13"/>
        <v>0</v>
      </c>
      <c r="S46" s="92">
        <f t="shared" si="13"/>
        <v>0</v>
      </c>
      <c r="T46" s="92">
        <f t="shared" si="14"/>
        <v>4633191.5682512373</v>
      </c>
      <c r="U46" s="77"/>
    </row>
    <row r="47" spans="2:21" x14ac:dyDescent="0.35">
      <c r="B47" s="77"/>
      <c r="C47" s="258" t="s">
        <v>95</v>
      </c>
      <c r="D47" s="88" t="s">
        <v>27</v>
      </c>
      <c r="E47" s="90">
        <f t="shared" ref="E47:F49" si="15">E$33*E21</f>
        <v>1630560.1525084272</v>
      </c>
      <c r="F47" s="90">
        <f t="shared" si="15"/>
        <v>382596.04927897413</v>
      </c>
      <c r="G47" s="90">
        <f t="shared" si="10"/>
        <v>2013156.2017874012</v>
      </c>
      <c r="H47" s="77"/>
      <c r="I47" s="258" t="s">
        <v>95</v>
      </c>
      <c r="J47" s="88" t="s">
        <v>27</v>
      </c>
      <c r="K47" s="90">
        <f t="shared" si="11"/>
        <v>1630560.1525084272</v>
      </c>
      <c r="L47" s="90">
        <f t="shared" si="12"/>
        <v>382596.04927897413</v>
      </c>
      <c r="M47" s="90">
        <f>$F47*M21</f>
        <v>0</v>
      </c>
      <c r="N47" s="90">
        <f t="shared" si="13"/>
        <v>0</v>
      </c>
      <c r="O47" s="90">
        <f t="shared" si="13"/>
        <v>0</v>
      </c>
      <c r="P47" s="90">
        <f t="shared" si="13"/>
        <v>0</v>
      </c>
      <c r="Q47" s="90">
        <f t="shared" si="13"/>
        <v>0</v>
      </c>
      <c r="R47" s="90">
        <f t="shared" si="13"/>
        <v>0</v>
      </c>
      <c r="S47" s="90">
        <f t="shared" si="13"/>
        <v>0</v>
      </c>
      <c r="T47" s="90">
        <f t="shared" si="14"/>
        <v>2013156.2017874012</v>
      </c>
      <c r="U47" s="77"/>
    </row>
    <row r="48" spans="2:21" x14ac:dyDescent="0.35">
      <c r="B48" s="77"/>
      <c r="C48" s="259"/>
      <c r="D48" s="79" t="s">
        <v>22</v>
      </c>
      <c r="E48" s="40">
        <f t="shared" si="15"/>
        <v>0</v>
      </c>
      <c r="F48" s="91">
        <f>F$33*F22</f>
        <v>763316.15765588172</v>
      </c>
      <c r="G48" s="91">
        <f t="shared" si="10"/>
        <v>763316.15765588172</v>
      </c>
      <c r="H48" s="77"/>
      <c r="I48" s="259"/>
      <c r="J48" s="79" t="s">
        <v>22</v>
      </c>
      <c r="K48" s="40">
        <f t="shared" si="11"/>
        <v>0</v>
      </c>
      <c r="L48" s="91">
        <f t="shared" si="12"/>
        <v>395598.77703307424</v>
      </c>
      <c r="M48" s="91">
        <f t="shared" ref="M48:S49" si="16">$F48*M22</f>
        <v>0</v>
      </c>
      <c r="N48" s="91">
        <f t="shared" si="16"/>
        <v>0</v>
      </c>
      <c r="O48" s="91">
        <f t="shared" si="16"/>
        <v>0</v>
      </c>
      <c r="P48" s="91">
        <f t="shared" si="16"/>
        <v>0</v>
      </c>
      <c r="Q48" s="91">
        <f t="shared" si="16"/>
        <v>0</v>
      </c>
      <c r="R48" s="91">
        <f t="shared" si="16"/>
        <v>367717.38062280748</v>
      </c>
      <c r="S48" s="91">
        <f t="shared" si="16"/>
        <v>0</v>
      </c>
      <c r="T48" s="91">
        <f t="shared" si="14"/>
        <v>763316.15765588172</v>
      </c>
      <c r="U48" s="77"/>
    </row>
    <row r="49" spans="2:23" x14ac:dyDescent="0.35">
      <c r="B49" s="77"/>
      <c r="C49" s="260"/>
      <c r="D49" s="89" t="s">
        <v>2</v>
      </c>
      <c r="E49" s="92">
        <f t="shared" si="15"/>
        <v>4223519.8474915726</v>
      </c>
      <c r="F49" s="92">
        <f t="shared" si="15"/>
        <v>3019407.7930651442</v>
      </c>
      <c r="G49" s="92">
        <f t="shared" si="10"/>
        <v>7242927.6405567173</v>
      </c>
      <c r="H49" s="77"/>
      <c r="I49" s="260"/>
      <c r="J49" s="89" t="s">
        <v>2</v>
      </c>
      <c r="K49" s="92">
        <f t="shared" si="11"/>
        <v>4223519.8474915726</v>
      </c>
      <c r="L49" s="92">
        <f t="shared" si="12"/>
        <v>3019407.7930651442</v>
      </c>
      <c r="M49" s="92">
        <f t="shared" si="16"/>
        <v>0</v>
      </c>
      <c r="N49" s="92">
        <f t="shared" si="16"/>
        <v>0</v>
      </c>
      <c r="O49" s="92">
        <f t="shared" si="16"/>
        <v>0</v>
      </c>
      <c r="P49" s="92">
        <f t="shared" si="16"/>
        <v>0</v>
      </c>
      <c r="Q49" s="92">
        <f t="shared" si="16"/>
        <v>0</v>
      </c>
      <c r="R49" s="92">
        <f t="shared" si="16"/>
        <v>0</v>
      </c>
      <c r="S49" s="92">
        <f t="shared" si="16"/>
        <v>0</v>
      </c>
      <c r="T49" s="92">
        <f t="shared" si="14"/>
        <v>7242927.6405567173</v>
      </c>
      <c r="U49" s="77"/>
    </row>
    <row r="50" spans="2:23" x14ac:dyDescent="0.35">
      <c r="B50" s="77"/>
      <c r="C50" s="265" t="s">
        <v>18</v>
      </c>
      <c r="D50" s="266"/>
      <c r="E50" s="80">
        <f>SUM(E44:E49)</f>
        <v>10112080</v>
      </c>
      <c r="F50" s="80">
        <f>SUM(F44:F49)</f>
        <v>9069340</v>
      </c>
      <c r="G50" s="81">
        <f>SUM(G44:G49)</f>
        <v>19181420</v>
      </c>
      <c r="H50" s="77"/>
      <c r="I50" s="265" t="s">
        <v>18</v>
      </c>
      <c r="J50" s="266"/>
      <c r="K50" s="80">
        <f>SUM(K44:K49)</f>
        <v>10112080</v>
      </c>
      <c r="L50" s="80">
        <f t="shared" ref="L50:S50" si="17">SUM(L44:L49)</f>
        <v>4661504.0057353871</v>
      </c>
      <c r="M50" s="80">
        <f t="shared" si="17"/>
        <v>2446270.1086154571</v>
      </c>
      <c r="N50" s="80">
        <f t="shared" si="17"/>
        <v>371090.54129606596</v>
      </c>
      <c r="O50" s="80">
        <f t="shared" si="17"/>
        <v>389202.82225959864</v>
      </c>
      <c r="P50" s="80">
        <f t="shared" si="17"/>
        <v>28472.725246402035</v>
      </c>
      <c r="Q50" s="80">
        <f t="shared" si="17"/>
        <v>291902.71335700504</v>
      </c>
      <c r="R50" s="80">
        <f t="shared" si="17"/>
        <v>659620.09397981246</v>
      </c>
      <c r="S50" s="80">
        <f t="shared" si="17"/>
        <v>221276.9895102717</v>
      </c>
      <c r="T50" s="81">
        <f>SUM(T44:T49)</f>
        <v>19181420</v>
      </c>
      <c r="U50" s="77"/>
    </row>
    <row r="51" spans="2:23" x14ac:dyDescent="0.35">
      <c r="B51" s="77"/>
      <c r="C51" s="77"/>
      <c r="D51" s="77"/>
      <c r="E51" s="77"/>
      <c r="F51" s="77"/>
      <c r="G51" s="77"/>
      <c r="H51" s="77"/>
      <c r="I51" s="268"/>
      <c r="J51" s="268"/>
      <c r="K51" s="82"/>
      <c r="L51" s="83"/>
      <c r="M51" s="83"/>
      <c r="N51" s="83"/>
      <c r="O51" s="83"/>
      <c r="P51" s="83"/>
      <c r="Q51" s="83"/>
      <c r="R51" s="83"/>
      <c r="S51" s="83"/>
      <c r="T51" s="84"/>
      <c r="U51" s="77"/>
    </row>
    <row r="52" spans="2:23" x14ac:dyDescent="0.35">
      <c r="B52" s="77"/>
      <c r="C52" s="77" t="s">
        <v>132</v>
      </c>
      <c r="D52" s="77"/>
      <c r="E52" s="77"/>
      <c r="F52" s="77"/>
      <c r="G52" s="77"/>
      <c r="H52" s="77"/>
      <c r="I52" s="77" t="s">
        <v>133</v>
      </c>
      <c r="J52" s="77"/>
      <c r="K52" s="77"/>
      <c r="L52" s="77"/>
      <c r="M52" s="77"/>
      <c r="N52" s="77"/>
      <c r="O52" s="77"/>
      <c r="P52" s="77"/>
      <c r="Q52" s="77"/>
      <c r="R52" s="77"/>
      <c r="S52" s="77"/>
      <c r="T52" s="77"/>
      <c r="U52" s="77"/>
    </row>
    <row r="53" spans="2:23" x14ac:dyDescent="0.35">
      <c r="B53" s="77"/>
      <c r="C53" s="263" t="s">
        <v>3</v>
      </c>
      <c r="D53" s="263" t="s">
        <v>1</v>
      </c>
      <c r="E53" s="265" t="s">
        <v>5</v>
      </c>
      <c r="F53" s="266"/>
      <c r="G53" s="263" t="s">
        <v>18</v>
      </c>
      <c r="H53" s="77"/>
      <c r="I53" s="263" t="s">
        <v>3</v>
      </c>
      <c r="J53" s="263" t="s">
        <v>1</v>
      </c>
      <c r="K53" s="265" t="s">
        <v>5</v>
      </c>
      <c r="L53" s="267"/>
      <c r="M53" s="267"/>
      <c r="N53" s="267"/>
      <c r="O53" s="267"/>
      <c r="P53" s="267"/>
      <c r="Q53" s="267"/>
      <c r="R53" s="267"/>
      <c r="S53" s="266"/>
      <c r="T53" s="263" t="s">
        <v>18</v>
      </c>
      <c r="U53" s="77"/>
    </row>
    <row r="54" spans="2:23" x14ac:dyDescent="0.35">
      <c r="B54" s="77"/>
      <c r="C54" s="264"/>
      <c r="D54" s="264"/>
      <c r="E54" s="78" t="s">
        <v>19</v>
      </c>
      <c r="F54" s="78" t="s">
        <v>92</v>
      </c>
      <c r="G54" s="264"/>
      <c r="H54" s="77"/>
      <c r="I54" s="264"/>
      <c r="J54" s="264"/>
      <c r="K54" s="78" t="s">
        <v>19</v>
      </c>
      <c r="L54" s="78" t="s">
        <v>7</v>
      </c>
      <c r="M54" s="78" t="s">
        <v>8</v>
      </c>
      <c r="N54" s="78" t="s">
        <v>9</v>
      </c>
      <c r="O54" s="78" t="s">
        <v>11</v>
      </c>
      <c r="P54" s="78" t="s">
        <v>6</v>
      </c>
      <c r="Q54" s="78" t="s">
        <v>12</v>
      </c>
      <c r="R54" s="78" t="s">
        <v>13</v>
      </c>
      <c r="S54" s="78" t="s">
        <v>10</v>
      </c>
      <c r="T54" s="264"/>
      <c r="U54" s="77"/>
    </row>
    <row r="55" spans="2:23" x14ac:dyDescent="0.35">
      <c r="B55" s="77"/>
      <c r="C55" s="258" t="s">
        <v>143</v>
      </c>
      <c r="D55" s="88" t="s">
        <v>27</v>
      </c>
      <c r="E55" s="90">
        <f t="shared" ref="E55:F57" si="18">E$34*E18</f>
        <v>566097.99060903955</v>
      </c>
      <c r="F55" s="90">
        <f>F$34*F18</f>
        <v>141020.42943570353</v>
      </c>
      <c r="G55" s="90">
        <f t="shared" ref="G55:G60" si="19">SUM(E55:F55)</f>
        <v>707118.42004474311</v>
      </c>
      <c r="H55" s="77"/>
      <c r="I55" s="258" t="s">
        <v>143</v>
      </c>
      <c r="J55" s="88" t="s">
        <v>27</v>
      </c>
      <c r="K55" s="90">
        <f t="shared" ref="K55:K60" si="20">E55</f>
        <v>566097.99060903955</v>
      </c>
      <c r="L55" s="105">
        <f>$F55*L18+V55</f>
        <v>141020.42943570353</v>
      </c>
      <c r="M55" s="105">
        <v>0</v>
      </c>
      <c r="N55" s="105">
        <v>0</v>
      </c>
      <c r="O55" s="105">
        <f>$F55*O18</f>
        <v>0</v>
      </c>
      <c r="P55" s="105">
        <v>0</v>
      </c>
      <c r="Q55" s="105">
        <f>$F55*Q18</f>
        <v>0</v>
      </c>
      <c r="R55" s="105">
        <f>$F55*R18</f>
        <v>0</v>
      </c>
      <c r="S55" s="105">
        <v>0</v>
      </c>
      <c r="T55" s="90">
        <f t="shared" ref="T55:T60" si="21">SUM(K55:S55)</f>
        <v>707118.42004474311</v>
      </c>
      <c r="U55" s="77"/>
      <c r="V55" s="116">
        <v>115434.66393523893</v>
      </c>
    </row>
    <row r="56" spans="2:23" x14ac:dyDescent="0.35">
      <c r="B56" s="77"/>
      <c r="C56" s="259"/>
      <c r="D56" s="79" t="s">
        <v>22</v>
      </c>
      <c r="E56" s="40">
        <f t="shared" si="18"/>
        <v>0</v>
      </c>
      <c r="F56" s="91">
        <f>F$34*F19</f>
        <v>264150.26690050151</v>
      </c>
      <c r="G56" s="91">
        <f t="shared" si="19"/>
        <v>264150.26690050151</v>
      </c>
      <c r="H56" s="77"/>
      <c r="I56" s="259"/>
      <c r="J56" s="79" t="s">
        <v>22</v>
      </c>
      <c r="K56" s="40">
        <f t="shared" si="20"/>
        <v>0</v>
      </c>
      <c r="L56" s="106">
        <f>$F56*L19+W56</f>
        <v>79064.584555546913</v>
      </c>
      <c r="M56" s="106">
        <v>0</v>
      </c>
      <c r="N56" s="106">
        <f>$F56*N19</f>
        <v>0</v>
      </c>
      <c r="O56" s="106">
        <v>0</v>
      </c>
      <c r="P56" s="106">
        <f>$F56*P19</f>
        <v>0</v>
      </c>
      <c r="Q56" s="106">
        <f>$F56*Q19+W56</f>
        <v>92542.841172477318</v>
      </c>
      <c r="R56" s="106">
        <f>$F56*R19+W56</f>
        <v>92542.841172477318</v>
      </c>
      <c r="S56" s="106">
        <v>0</v>
      </c>
      <c r="T56" s="91">
        <f t="shared" si="21"/>
        <v>264150.26690050156</v>
      </c>
      <c r="U56" s="77"/>
      <c r="V56" s="116">
        <v>181672.39016555334</v>
      </c>
      <c r="W56">
        <f>V56/3</f>
        <v>60557.463388517783</v>
      </c>
    </row>
    <row r="57" spans="2:23" x14ac:dyDescent="0.35">
      <c r="B57" s="77"/>
      <c r="C57" s="260"/>
      <c r="D57" s="89" t="s">
        <v>2</v>
      </c>
      <c r="E57" s="92">
        <f t="shared" si="18"/>
        <v>2333902.0093909604</v>
      </c>
      <c r="F57" s="92">
        <f t="shared" si="18"/>
        <v>132189.61304965819</v>
      </c>
      <c r="G57" s="92">
        <f t="shared" si="19"/>
        <v>2466091.6224406185</v>
      </c>
      <c r="H57" s="77"/>
      <c r="I57" s="260"/>
      <c r="J57" s="89" t="s">
        <v>2</v>
      </c>
      <c r="K57" s="92">
        <f t="shared" si="20"/>
        <v>2333902.0093909604</v>
      </c>
      <c r="L57" s="107">
        <f>$F57*L20+V57</f>
        <v>132189.61304965819</v>
      </c>
      <c r="M57" s="107">
        <v>0</v>
      </c>
      <c r="N57" s="107">
        <v>0</v>
      </c>
      <c r="O57" s="107">
        <f>$F57*O20</f>
        <v>0</v>
      </c>
      <c r="P57" s="107">
        <v>0</v>
      </c>
      <c r="Q57" s="107">
        <f>$F57*Q20</f>
        <v>0</v>
      </c>
      <c r="R57" s="107">
        <f>$F57*R20</f>
        <v>0</v>
      </c>
      <c r="S57" s="107">
        <f>$F57*S20</f>
        <v>0</v>
      </c>
      <c r="T57" s="92">
        <f t="shared" si="21"/>
        <v>2466091.6224406185</v>
      </c>
      <c r="U57" s="77"/>
      <c r="V57" s="116">
        <v>81620.096983819763</v>
      </c>
    </row>
    <row r="58" spans="2:23" x14ac:dyDescent="0.35">
      <c r="B58" s="77"/>
      <c r="C58" s="258" t="s">
        <v>95</v>
      </c>
      <c r="D58" s="88" t="s">
        <v>27</v>
      </c>
      <c r="E58" s="90">
        <f t="shared" ref="E58:F60" si="22">E$35*E21</f>
        <v>111413.58864302689</v>
      </c>
      <c r="F58" s="90">
        <f t="shared" si="22"/>
        <v>68996.99326032048</v>
      </c>
      <c r="G58" s="90">
        <f t="shared" si="19"/>
        <v>180410.58190334737</v>
      </c>
      <c r="H58" s="77"/>
      <c r="I58" s="258" t="s">
        <v>95</v>
      </c>
      <c r="J58" s="88" t="s">
        <v>27</v>
      </c>
      <c r="K58" s="90">
        <f t="shared" si="20"/>
        <v>111413.58864302689</v>
      </c>
      <c r="L58" s="90">
        <f t="shared" ref="L58:S58" si="23">$F58*L21</f>
        <v>68996.99326032048</v>
      </c>
      <c r="M58" s="90">
        <f t="shared" si="23"/>
        <v>0</v>
      </c>
      <c r="N58" s="90">
        <f t="shared" si="23"/>
        <v>0</v>
      </c>
      <c r="O58" s="90">
        <f t="shared" si="23"/>
        <v>0</v>
      </c>
      <c r="P58" s="90">
        <f t="shared" si="23"/>
        <v>0</v>
      </c>
      <c r="Q58" s="90">
        <f t="shared" si="23"/>
        <v>0</v>
      </c>
      <c r="R58" s="90">
        <f t="shared" si="23"/>
        <v>0</v>
      </c>
      <c r="S58" s="90">
        <f t="shared" si="23"/>
        <v>0</v>
      </c>
      <c r="T58" s="90">
        <f t="shared" si="21"/>
        <v>180410.58190334737</v>
      </c>
      <c r="U58" s="77"/>
    </row>
    <row r="59" spans="2:23" x14ac:dyDescent="0.35">
      <c r="B59" s="77"/>
      <c r="C59" s="259"/>
      <c r="D59" s="79" t="s">
        <v>22</v>
      </c>
      <c r="E59" s="40">
        <f t="shared" si="22"/>
        <v>0</v>
      </c>
      <c r="F59" s="91">
        <f t="shared" si="22"/>
        <v>137655.68119307529</v>
      </c>
      <c r="G59" s="91">
        <f t="shared" si="19"/>
        <v>137655.68119307529</v>
      </c>
      <c r="H59" s="77"/>
      <c r="I59" s="259"/>
      <c r="J59" s="79" t="s">
        <v>22</v>
      </c>
      <c r="K59" s="40">
        <f t="shared" si="20"/>
        <v>0</v>
      </c>
      <c r="L59" s="91">
        <f t="shared" ref="L59:S59" si="24">$F59*L22</f>
        <v>71341.892327904046</v>
      </c>
      <c r="M59" s="91">
        <f t="shared" si="24"/>
        <v>0</v>
      </c>
      <c r="N59" s="91">
        <f t="shared" si="24"/>
        <v>0</v>
      </c>
      <c r="O59" s="91">
        <f t="shared" si="24"/>
        <v>0</v>
      </c>
      <c r="P59" s="91">
        <f t="shared" si="24"/>
        <v>0</v>
      </c>
      <c r="Q59" s="91">
        <f t="shared" si="24"/>
        <v>0</v>
      </c>
      <c r="R59" s="91">
        <f t="shared" si="24"/>
        <v>66313.788865171242</v>
      </c>
      <c r="S59" s="91">
        <f t="shared" si="24"/>
        <v>0</v>
      </c>
      <c r="T59" s="91">
        <f t="shared" si="21"/>
        <v>137655.68119307529</v>
      </c>
      <c r="U59" s="77"/>
    </row>
    <row r="60" spans="2:23" x14ac:dyDescent="0.35">
      <c r="B60" s="77"/>
      <c r="C60" s="260"/>
      <c r="D60" s="89" t="s">
        <v>2</v>
      </c>
      <c r="E60" s="92">
        <f t="shared" si="22"/>
        <v>288586.41135697311</v>
      </c>
      <c r="F60" s="92">
        <f t="shared" si="22"/>
        <v>544517.0161607411</v>
      </c>
      <c r="G60" s="92">
        <f t="shared" si="19"/>
        <v>833103.42751771421</v>
      </c>
      <c r="H60" s="77"/>
      <c r="I60" s="260"/>
      <c r="J60" s="89" t="s">
        <v>2</v>
      </c>
      <c r="K60" s="92">
        <f t="shared" si="20"/>
        <v>288586.41135697311</v>
      </c>
      <c r="L60" s="92">
        <f t="shared" ref="L60:S60" si="25">$F60*L23</f>
        <v>544517.0161607411</v>
      </c>
      <c r="M60" s="92">
        <f t="shared" si="25"/>
        <v>0</v>
      </c>
      <c r="N60" s="92">
        <f t="shared" si="25"/>
        <v>0</v>
      </c>
      <c r="O60" s="92">
        <f t="shared" si="25"/>
        <v>0</v>
      </c>
      <c r="P60" s="92">
        <f t="shared" si="25"/>
        <v>0</v>
      </c>
      <c r="Q60" s="92">
        <f t="shared" si="25"/>
        <v>0</v>
      </c>
      <c r="R60" s="92">
        <f t="shared" si="25"/>
        <v>0</v>
      </c>
      <c r="S60" s="92">
        <f t="shared" si="25"/>
        <v>0</v>
      </c>
      <c r="T60" s="92">
        <f t="shared" si="21"/>
        <v>833103.42751771421</v>
      </c>
      <c r="U60" s="77"/>
    </row>
    <row r="61" spans="2:23" x14ac:dyDescent="0.35">
      <c r="B61" s="77"/>
      <c r="C61" s="265" t="s">
        <v>18</v>
      </c>
      <c r="D61" s="266"/>
      <c r="E61" s="80">
        <f>SUM(E55:E60)</f>
        <v>3300000</v>
      </c>
      <c r="F61" s="80">
        <f>SUM(F55:F60)</f>
        <v>1288530</v>
      </c>
      <c r="G61" s="81">
        <f>SUM(G55:G60)</f>
        <v>4588530</v>
      </c>
      <c r="H61" s="77"/>
      <c r="I61" s="265" t="s">
        <v>18</v>
      </c>
      <c r="J61" s="266"/>
      <c r="K61" s="80">
        <f>SUM(K55:K60)</f>
        <v>3300000</v>
      </c>
      <c r="L61" s="80">
        <f>0.25*F61</f>
        <v>322132.5</v>
      </c>
      <c r="M61" s="80">
        <v>0</v>
      </c>
      <c r="N61" s="80">
        <v>0</v>
      </c>
      <c r="O61" s="80">
        <v>0</v>
      </c>
      <c r="P61" s="80">
        <v>0</v>
      </c>
      <c r="Q61" s="80">
        <f>0.25*F61</f>
        <v>322132.5</v>
      </c>
      <c r="R61" s="80">
        <f>0.5*F61</f>
        <v>644265</v>
      </c>
      <c r="S61" s="80">
        <v>0</v>
      </c>
      <c r="T61" s="81">
        <f>SUM(T55:T60)</f>
        <v>4588530</v>
      </c>
      <c r="U61" s="77"/>
    </row>
    <row r="62" spans="2:23" x14ac:dyDescent="0.35">
      <c r="B62" s="77"/>
      <c r="C62" s="77"/>
      <c r="D62" s="77"/>
      <c r="E62" s="77"/>
      <c r="F62" s="77"/>
      <c r="G62" s="77"/>
      <c r="H62" s="77"/>
      <c r="I62" s="77"/>
      <c r="J62" s="77"/>
      <c r="K62" s="77"/>
      <c r="L62" s="77"/>
      <c r="M62" s="77"/>
      <c r="N62" s="77"/>
      <c r="O62" s="77"/>
      <c r="P62" s="77"/>
      <c r="Q62" s="77"/>
      <c r="R62" s="77"/>
      <c r="S62" s="77"/>
      <c r="T62" s="77"/>
      <c r="U62" s="77"/>
    </row>
    <row r="63" spans="2:23" x14ac:dyDescent="0.35">
      <c r="B63" s="77"/>
      <c r="C63" s="77" t="s">
        <v>134</v>
      </c>
      <c r="D63" s="77"/>
      <c r="E63" s="77"/>
      <c r="F63" s="77"/>
      <c r="G63" s="77"/>
      <c r="H63" s="77"/>
      <c r="I63" s="77" t="s">
        <v>135</v>
      </c>
      <c r="J63" s="77"/>
      <c r="K63" s="77"/>
      <c r="L63" s="77"/>
      <c r="M63" s="77"/>
      <c r="N63" s="77"/>
      <c r="O63" s="77"/>
      <c r="P63" s="77"/>
      <c r="Q63" s="77"/>
      <c r="R63" s="77"/>
      <c r="S63" s="77"/>
      <c r="T63" s="77"/>
      <c r="U63" s="77"/>
    </row>
    <row r="64" spans="2:23" x14ac:dyDescent="0.35">
      <c r="B64" s="77"/>
      <c r="C64" s="263" t="s">
        <v>3</v>
      </c>
      <c r="D64" s="263" t="s">
        <v>1</v>
      </c>
      <c r="E64" s="265" t="s">
        <v>5</v>
      </c>
      <c r="F64" s="266"/>
      <c r="G64" s="263" t="s">
        <v>18</v>
      </c>
      <c r="H64" s="77"/>
      <c r="I64" s="263" t="s">
        <v>3</v>
      </c>
      <c r="J64" s="263" t="s">
        <v>1</v>
      </c>
      <c r="K64" s="265" t="s">
        <v>5</v>
      </c>
      <c r="L64" s="267"/>
      <c r="M64" s="267"/>
      <c r="N64" s="267"/>
      <c r="O64" s="267"/>
      <c r="P64" s="267"/>
      <c r="Q64" s="267"/>
      <c r="R64" s="267"/>
      <c r="S64" s="266"/>
      <c r="T64" s="263" t="s">
        <v>18</v>
      </c>
      <c r="U64" s="77"/>
    </row>
    <row r="65" spans="2:21" x14ac:dyDescent="0.35">
      <c r="B65" s="77"/>
      <c r="C65" s="264"/>
      <c r="D65" s="264"/>
      <c r="E65" s="78" t="s">
        <v>19</v>
      </c>
      <c r="F65" s="78" t="s">
        <v>92</v>
      </c>
      <c r="G65" s="264"/>
      <c r="H65" s="77"/>
      <c r="I65" s="264"/>
      <c r="J65" s="264"/>
      <c r="K65" s="78" t="s">
        <v>19</v>
      </c>
      <c r="L65" s="78" t="s">
        <v>7</v>
      </c>
      <c r="M65" s="78" t="s">
        <v>8</v>
      </c>
      <c r="N65" s="78" t="s">
        <v>9</v>
      </c>
      <c r="O65" s="78" t="s">
        <v>11</v>
      </c>
      <c r="P65" s="78" t="s">
        <v>6</v>
      </c>
      <c r="Q65" s="78" t="s">
        <v>12</v>
      </c>
      <c r="R65" s="78" t="s">
        <v>13</v>
      </c>
      <c r="S65" s="78" t="s">
        <v>10</v>
      </c>
      <c r="T65" s="264"/>
      <c r="U65" s="77"/>
    </row>
    <row r="66" spans="2:21" x14ac:dyDescent="0.35">
      <c r="B66" s="77"/>
      <c r="C66" s="258" t="s">
        <v>143</v>
      </c>
      <c r="D66" s="88" t="s">
        <v>27</v>
      </c>
      <c r="E66" s="90">
        <f t="shared" ref="E66:E71" si="26">E44+E55</f>
        <v>1397286.0057860361</v>
      </c>
      <c r="F66" s="90">
        <f t="shared" ref="F66:F71" si="27">F44+F55</f>
        <v>1427991.1905469119</v>
      </c>
      <c r="G66" s="90">
        <f t="shared" ref="G66:G71" si="28">SUM(E66:F66)</f>
        <v>2825277.1963329483</v>
      </c>
      <c r="H66" s="77"/>
      <c r="I66" s="258" t="s">
        <v>143</v>
      </c>
      <c r="J66" s="88" t="s">
        <v>27</v>
      </c>
      <c r="K66" s="90">
        <f>K44+K55</f>
        <v>1397286.0057860361</v>
      </c>
      <c r="L66" s="90">
        <f t="shared" ref="L66:S66" si="29">L44+L55</f>
        <v>374519.44962383143</v>
      </c>
      <c r="M66" s="90">
        <f t="shared" si="29"/>
        <v>895353.84316118772</v>
      </c>
      <c r="N66" s="90">
        <f t="shared" si="29"/>
        <v>70782.04937092778</v>
      </c>
      <c r="O66" s="90">
        <f t="shared" si="29"/>
        <v>0</v>
      </c>
      <c r="P66" s="90">
        <f t="shared" si="29"/>
        <v>14236.362623201017</v>
      </c>
      <c r="Q66" s="90">
        <f t="shared" si="29"/>
        <v>0</v>
      </c>
      <c r="R66" s="90">
        <f t="shared" si="29"/>
        <v>0</v>
      </c>
      <c r="S66" s="90">
        <f t="shared" si="29"/>
        <v>73099.48576776401</v>
      </c>
      <c r="T66" s="90">
        <f t="shared" ref="T66:T71" si="30">SUM(K66:S66)</f>
        <v>2825277.1963329483</v>
      </c>
      <c r="U66" s="77"/>
    </row>
    <row r="67" spans="2:21" x14ac:dyDescent="0.35">
      <c r="B67" s="77"/>
      <c r="C67" s="259"/>
      <c r="D67" s="79" t="s">
        <v>22</v>
      </c>
      <c r="E67" s="40">
        <f t="shared" si="26"/>
        <v>0</v>
      </c>
      <c r="F67" s="91">
        <f t="shared" si="27"/>
        <v>2674819.9223610586</v>
      </c>
      <c r="G67" s="91">
        <f t="shared" si="28"/>
        <v>2674819.9223610586</v>
      </c>
      <c r="H67" s="77"/>
      <c r="I67" s="259"/>
      <c r="J67" s="79" t="s">
        <v>22</v>
      </c>
      <c r="K67" s="40">
        <f t="shared" ref="K67:S71" si="31">K45+K56</f>
        <v>0</v>
      </c>
      <c r="L67" s="91">
        <f t="shared" si="31"/>
        <v>247962.97686379327</v>
      </c>
      <c r="M67" s="91">
        <f t="shared" si="31"/>
        <v>1120585.5104361943</v>
      </c>
      <c r="N67" s="91">
        <f t="shared" si="31"/>
        <v>0</v>
      </c>
      <c r="O67" s="91">
        <f>O45+O56</f>
        <v>389202.82225959864</v>
      </c>
      <c r="P67" s="91">
        <f t="shared" si="31"/>
        <v>0</v>
      </c>
      <c r="Q67" s="91">
        <f t="shared" si="31"/>
        <v>384445.55452948238</v>
      </c>
      <c r="R67" s="91">
        <f t="shared" si="31"/>
        <v>384445.55452948238</v>
      </c>
      <c r="S67" s="91">
        <f t="shared" si="31"/>
        <v>148177.50374250769</v>
      </c>
      <c r="T67" s="91">
        <f t="shared" si="30"/>
        <v>2674819.9223610586</v>
      </c>
      <c r="U67" s="77"/>
    </row>
    <row r="68" spans="2:21" x14ac:dyDescent="0.35">
      <c r="B68" s="77"/>
      <c r="C68" s="260"/>
      <c r="D68" s="89" t="s">
        <v>2</v>
      </c>
      <c r="E68" s="92">
        <f t="shared" si="26"/>
        <v>5760713.9942139639</v>
      </c>
      <c r="F68" s="92">
        <f t="shared" si="27"/>
        <v>1338569.1964778926</v>
      </c>
      <c r="G68" s="92">
        <f t="shared" si="28"/>
        <v>7099283.1906918567</v>
      </c>
      <c r="H68" s="77"/>
      <c r="I68" s="260"/>
      <c r="J68" s="89" t="s">
        <v>2</v>
      </c>
      <c r="K68" s="92">
        <f t="shared" si="31"/>
        <v>5760713.9942139639</v>
      </c>
      <c r="L68" s="92">
        <f t="shared" si="31"/>
        <v>593693.58691147831</v>
      </c>
      <c r="M68" s="92">
        <f t="shared" si="31"/>
        <v>430330.75501807494</v>
      </c>
      <c r="N68" s="92">
        <f t="shared" si="31"/>
        <v>300308.49192513817</v>
      </c>
      <c r="O68" s="92">
        <f t="shared" si="31"/>
        <v>0</v>
      </c>
      <c r="P68" s="92">
        <f t="shared" si="31"/>
        <v>14236.362623201016</v>
      </c>
      <c r="Q68" s="92">
        <f t="shared" si="31"/>
        <v>0</v>
      </c>
      <c r="R68" s="92">
        <f t="shared" si="31"/>
        <v>0</v>
      </c>
      <c r="S68" s="92">
        <f t="shared" si="31"/>
        <v>0</v>
      </c>
      <c r="T68" s="92">
        <f t="shared" si="30"/>
        <v>7099283.1906918557</v>
      </c>
      <c r="U68" s="77"/>
    </row>
    <row r="69" spans="2:21" x14ac:dyDescent="0.35">
      <c r="B69" s="77"/>
      <c r="C69" s="258" t="s">
        <v>95</v>
      </c>
      <c r="D69" s="88" t="s">
        <v>27</v>
      </c>
      <c r="E69" s="90">
        <f t="shared" si="26"/>
        <v>1741973.7411514539</v>
      </c>
      <c r="F69" s="90">
        <f t="shared" si="27"/>
        <v>451593.04253929458</v>
      </c>
      <c r="G69" s="90">
        <f t="shared" si="28"/>
        <v>2193566.7836907487</v>
      </c>
      <c r="H69" s="77"/>
      <c r="I69" s="258" t="s">
        <v>95</v>
      </c>
      <c r="J69" s="88" t="s">
        <v>27</v>
      </c>
      <c r="K69" s="90">
        <f t="shared" si="31"/>
        <v>1741973.7411514539</v>
      </c>
      <c r="L69" s="90">
        <f>L47+L58</f>
        <v>451593.04253929458</v>
      </c>
      <c r="M69" s="90">
        <f t="shared" si="31"/>
        <v>0</v>
      </c>
      <c r="N69" s="90">
        <f t="shared" si="31"/>
        <v>0</v>
      </c>
      <c r="O69" s="90">
        <f t="shared" si="31"/>
        <v>0</v>
      </c>
      <c r="P69" s="90">
        <f t="shared" si="31"/>
        <v>0</v>
      </c>
      <c r="Q69" s="90">
        <f t="shared" si="31"/>
        <v>0</v>
      </c>
      <c r="R69" s="90">
        <f t="shared" si="31"/>
        <v>0</v>
      </c>
      <c r="S69" s="90">
        <f t="shared" si="31"/>
        <v>0</v>
      </c>
      <c r="T69" s="90">
        <f t="shared" si="30"/>
        <v>2193566.7836907487</v>
      </c>
      <c r="U69" s="77"/>
    </row>
    <row r="70" spans="2:21" x14ac:dyDescent="0.35">
      <c r="B70" s="77"/>
      <c r="C70" s="259"/>
      <c r="D70" s="79" t="s">
        <v>22</v>
      </c>
      <c r="E70" s="40">
        <f t="shared" si="26"/>
        <v>0</v>
      </c>
      <c r="F70" s="91">
        <f t="shared" si="27"/>
        <v>900971.83884895698</v>
      </c>
      <c r="G70" s="91">
        <f t="shared" si="28"/>
        <v>900971.83884895698</v>
      </c>
      <c r="H70" s="77"/>
      <c r="I70" s="259"/>
      <c r="J70" s="79" t="s">
        <v>22</v>
      </c>
      <c r="K70" s="40">
        <f t="shared" si="31"/>
        <v>0</v>
      </c>
      <c r="L70" s="91">
        <f t="shared" si="31"/>
        <v>466940.6693609783</v>
      </c>
      <c r="M70" s="91">
        <f t="shared" si="31"/>
        <v>0</v>
      </c>
      <c r="N70" s="91">
        <f t="shared" si="31"/>
        <v>0</v>
      </c>
      <c r="O70" s="91">
        <f t="shared" si="31"/>
        <v>0</v>
      </c>
      <c r="P70" s="91">
        <f t="shared" si="31"/>
        <v>0</v>
      </c>
      <c r="Q70" s="91">
        <f t="shared" si="31"/>
        <v>0</v>
      </c>
      <c r="R70" s="91">
        <f t="shared" si="31"/>
        <v>434031.16948797874</v>
      </c>
      <c r="S70" s="91">
        <f t="shared" si="31"/>
        <v>0</v>
      </c>
      <c r="T70" s="91">
        <f t="shared" si="30"/>
        <v>900971.83884895709</v>
      </c>
      <c r="U70" s="77"/>
    </row>
    <row r="71" spans="2:21" x14ac:dyDescent="0.35">
      <c r="B71" s="77"/>
      <c r="C71" s="260"/>
      <c r="D71" s="89" t="s">
        <v>2</v>
      </c>
      <c r="E71" s="92">
        <f t="shared" si="26"/>
        <v>4512106.2588485461</v>
      </c>
      <c r="F71" s="92">
        <f t="shared" si="27"/>
        <v>3563924.8092258852</v>
      </c>
      <c r="G71" s="92">
        <f t="shared" si="28"/>
        <v>8076031.0680744313</v>
      </c>
      <c r="H71" s="77"/>
      <c r="I71" s="260"/>
      <c r="J71" s="89" t="s">
        <v>2</v>
      </c>
      <c r="K71" s="92">
        <f t="shared" si="31"/>
        <v>4512106.2588485461</v>
      </c>
      <c r="L71" s="92">
        <f>L49+L60</f>
        <v>3563924.8092258852</v>
      </c>
      <c r="M71" s="92">
        <f t="shared" si="31"/>
        <v>0</v>
      </c>
      <c r="N71" s="92">
        <f t="shared" si="31"/>
        <v>0</v>
      </c>
      <c r="O71" s="92">
        <f t="shared" si="31"/>
        <v>0</v>
      </c>
      <c r="P71" s="92">
        <f t="shared" si="31"/>
        <v>0</v>
      </c>
      <c r="Q71" s="92">
        <f t="shared" si="31"/>
        <v>0</v>
      </c>
      <c r="R71" s="92">
        <f t="shared" si="31"/>
        <v>0</v>
      </c>
      <c r="S71" s="92">
        <f t="shared" si="31"/>
        <v>0</v>
      </c>
      <c r="T71" s="92">
        <f t="shared" si="30"/>
        <v>8076031.0680744313</v>
      </c>
      <c r="U71" s="77"/>
    </row>
    <row r="72" spans="2:21" x14ac:dyDescent="0.35">
      <c r="B72" s="77"/>
      <c r="C72" s="265" t="s">
        <v>18</v>
      </c>
      <c r="D72" s="266"/>
      <c r="E72" s="80">
        <f>SUM(E66:E71)</f>
        <v>13412080</v>
      </c>
      <c r="F72" s="80">
        <f>SUM(F66:F71)</f>
        <v>10357870</v>
      </c>
      <c r="G72" s="81">
        <f>SUM(G66:G71)</f>
        <v>23769950</v>
      </c>
      <c r="H72" s="77"/>
      <c r="I72" s="265" t="s">
        <v>18</v>
      </c>
      <c r="J72" s="266"/>
      <c r="K72" s="80">
        <f>SUM(K66:K71)</f>
        <v>13412080</v>
      </c>
      <c r="L72" s="80">
        <f>SUM(L66:L71)</f>
        <v>5698634.5345252613</v>
      </c>
      <c r="M72" s="80">
        <f t="shared" ref="M72:S72" si="32">SUM(M66:M71)</f>
        <v>2446270.1086154571</v>
      </c>
      <c r="N72" s="80">
        <f t="shared" si="32"/>
        <v>371090.54129606596</v>
      </c>
      <c r="O72" s="80">
        <f t="shared" si="32"/>
        <v>389202.82225959864</v>
      </c>
      <c r="P72" s="80">
        <f t="shared" si="32"/>
        <v>28472.725246402035</v>
      </c>
      <c r="Q72" s="80">
        <f t="shared" si="32"/>
        <v>384445.55452948238</v>
      </c>
      <c r="R72" s="80">
        <f t="shared" si="32"/>
        <v>818476.72401746106</v>
      </c>
      <c r="S72" s="80">
        <f t="shared" si="32"/>
        <v>221276.9895102717</v>
      </c>
      <c r="T72" s="81">
        <f>SUM(T66:T71)</f>
        <v>23769950</v>
      </c>
      <c r="U72" s="77"/>
    </row>
    <row r="73" spans="2:21" x14ac:dyDescent="0.35">
      <c r="B73" s="77"/>
      <c r="C73" s="77"/>
      <c r="D73" s="77"/>
      <c r="E73" s="77"/>
      <c r="F73" s="77"/>
      <c r="G73" s="77"/>
      <c r="H73" s="77"/>
      <c r="I73" s="77"/>
      <c r="J73" s="77"/>
      <c r="K73" s="77"/>
      <c r="L73" s="77"/>
      <c r="M73" s="77"/>
      <c r="N73" s="77"/>
      <c r="O73" s="77"/>
      <c r="P73" s="77"/>
      <c r="Q73" s="77"/>
      <c r="R73" s="77"/>
      <c r="S73" s="77"/>
      <c r="T73" s="77"/>
      <c r="U73" s="77"/>
    </row>
    <row r="76" spans="2:21" x14ac:dyDescent="0.35">
      <c r="E76" s="31"/>
      <c r="F76" s="31"/>
    </row>
  </sheetData>
  <mergeCells count="78">
    <mergeCell ref="J64:J65"/>
    <mergeCell ref="C72:D72"/>
    <mergeCell ref="I72:J72"/>
    <mergeCell ref="K64:S64"/>
    <mergeCell ref="T64:T65"/>
    <mergeCell ref="C66:C68"/>
    <mergeCell ref="I66:I68"/>
    <mergeCell ref="C69:C71"/>
    <mergeCell ref="I69:I71"/>
    <mergeCell ref="C64:C65"/>
    <mergeCell ref="D64:D65"/>
    <mergeCell ref="E64:F64"/>
    <mergeCell ref="G64:G65"/>
    <mergeCell ref="I64:I65"/>
    <mergeCell ref="K53:S53"/>
    <mergeCell ref="T53:T54"/>
    <mergeCell ref="C55:C57"/>
    <mergeCell ref="I55:I57"/>
    <mergeCell ref="C61:D61"/>
    <mergeCell ref="I61:J61"/>
    <mergeCell ref="J42:J43"/>
    <mergeCell ref="K42:S42"/>
    <mergeCell ref="T42:T43"/>
    <mergeCell ref="C58:C60"/>
    <mergeCell ref="I58:I60"/>
    <mergeCell ref="C47:C49"/>
    <mergeCell ref="I47:I49"/>
    <mergeCell ref="C50:D50"/>
    <mergeCell ref="I50:J50"/>
    <mergeCell ref="I51:J51"/>
    <mergeCell ref="C53:C54"/>
    <mergeCell ref="D53:D54"/>
    <mergeCell ref="E53:F53"/>
    <mergeCell ref="G53:G54"/>
    <mergeCell ref="I53:I54"/>
    <mergeCell ref="J53:J54"/>
    <mergeCell ref="C44:C46"/>
    <mergeCell ref="I44:I46"/>
    <mergeCell ref="C32:C33"/>
    <mergeCell ref="C34:C35"/>
    <mergeCell ref="C36:D36"/>
    <mergeCell ref="C42:C43"/>
    <mergeCell ref="D42:D43"/>
    <mergeCell ref="E42:F42"/>
    <mergeCell ref="G42:G43"/>
    <mergeCell ref="I42:I43"/>
    <mergeCell ref="C24:D24"/>
    <mergeCell ref="I24:J24"/>
    <mergeCell ref="C30:C31"/>
    <mergeCell ref="D30:D31"/>
    <mergeCell ref="E30:F30"/>
    <mergeCell ref="G30:G31"/>
    <mergeCell ref="K16:S16"/>
    <mergeCell ref="T16:T17"/>
    <mergeCell ref="C18:C20"/>
    <mergeCell ref="I18:I20"/>
    <mergeCell ref="C21:C23"/>
    <mergeCell ref="I21:I23"/>
    <mergeCell ref="C13:D13"/>
    <mergeCell ref="I13:J13"/>
    <mergeCell ref="C16:C17"/>
    <mergeCell ref="D16:D17"/>
    <mergeCell ref="E16:F16"/>
    <mergeCell ref="G16:G17"/>
    <mergeCell ref="I16:I17"/>
    <mergeCell ref="J16:J17"/>
    <mergeCell ref="K5:S5"/>
    <mergeCell ref="T5:T6"/>
    <mergeCell ref="C7:C9"/>
    <mergeCell ref="I7:I9"/>
    <mergeCell ref="C10:C12"/>
    <mergeCell ref="I10:I12"/>
    <mergeCell ref="C5:C6"/>
    <mergeCell ref="D5:D6"/>
    <mergeCell ref="E5:F5"/>
    <mergeCell ref="G5:G6"/>
    <mergeCell ref="I5:I6"/>
    <mergeCell ref="J5:J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CEF58-A02E-4CC5-95D3-62AD5AD5D10B}">
  <sheetPr>
    <tabColor theme="0" tint="-4.9989318521683403E-2"/>
  </sheetPr>
  <dimension ref="B2:W76"/>
  <sheetViews>
    <sheetView topLeftCell="A30" zoomScale="50" zoomScaleNormal="44" workbookViewId="0">
      <selection activeCell="B22" sqref="B22:H22"/>
    </sheetView>
  </sheetViews>
  <sheetFormatPr baseColWidth="10" defaultColWidth="11.453125" defaultRowHeight="14.5" x14ac:dyDescent="0.35"/>
  <cols>
    <col min="2" max="2" width="5.1796875" customWidth="1"/>
    <col min="3" max="7" width="17.1796875" customWidth="1"/>
    <col min="8" max="8" width="7.1796875" customWidth="1"/>
    <col min="9" max="20" width="17.1796875" customWidth="1"/>
    <col min="21" max="21" width="4.81640625" customWidth="1"/>
  </cols>
  <sheetData>
    <row r="2" spans="2:23" x14ac:dyDescent="0.35">
      <c r="C2" s="59" t="s">
        <v>125</v>
      </c>
    </row>
    <row r="3" spans="2:23" x14ac:dyDescent="0.35">
      <c r="B3" s="60"/>
      <c r="C3" s="60"/>
      <c r="D3" s="60"/>
      <c r="E3" s="60"/>
      <c r="F3" s="60"/>
      <c r="G3" s="60"/>
      <c r="H3" s="60"/>
      <c r="I3" s="60"/>
      <c r="J3" s="60"/>
      <c r="K3" s="60"/>
      <c r="L3" s="60"/>
      <c r="M3" s="60"/>
      <c r="N3" s="60"/>
      <c r="O3" s="60"/>
      <c r="P3" s="60"/>
      <c r="Q3" s="60"/>
      <c r="R3" s="60"/>
      <c r="S3" s="60"/>
      <c r="T3" s="60"/>
      <c r="U3" s="60"/>
    </row>
    <row r="4" spans="2:23" x14ac:dyDescent="0.35">
      <c r="B4" s="60"/>
      <c r="C4" s="60" t="s">
        <v>126</v>
      </c>
      <c r="D4" s="60"/>
      <c r="E4" s="60"/>
      <c r="F4" s="60"/>
      <c r="G4" s="60"/>
      <c r="H4" s="60"/>
      <c r="I4" s="60" t="s">
        <v>126</v>
      </c>
      <c r="J4" s="60"/>
      <c r="K4" s="60"/>
      <c r="L4" s="60"/>
      <c r="M4" s="60"/>
      <c r="N4" s="60"/>
      <c r="O4" s="60"/>
      <c r="P4" s="60"/>
      <c r="Q4" s="60"/>
      <c r="R4" s="60"/>
      <c r="S4" s="60"/>
      <c r="T4" s="60"/>
      <c r="U4" s="60"/>
      <c r="W4" s="102">
        <f>SUM(M7:M9)/SUM('Resultados toneladas'!M7:M9)</f>
        <v>692.50196504071789</v>
      </c>
    </row>
    <row r="5" spans="2:23" x14ac:dyDescent="0.35">
      <c r="B5" s="60"/>
      <c r="C5" s="246" t="s">
        <v>3</v>
      </c>
      <c r="D5" s="246" t="s">
        <v>1</v>
      </c>
      <c r="E5" s="243" t="s">
        <v>5</v>
      </c>
      <c r="F5" s="245"/>
      <c r="G5" s="246" t="s">
        <v>18</v>
      </c>
      <c r="H5" s="60"/>
      <c r="I5" s="246" t="s">
        <v>3</v>
      </c>
      <c r="J5" s="246" t="s">
        <v>1</v>
      </c>
      <c r="K5" s="243" t="s">
        <v>5</v>
      </c>
      <c r="L5" s="244"/>
      <c r="M5" s="244"/>
      <c r="N5" s="244"/>
      <c r="O5" s="244"/>
      <c r="P5" s="244"/>
      <c r="Q5" s="244"/>
      <c r="R5" s="244"/>
      <c r="S5" s="245"/>
      <c r="T5" s="246" t="s">
        <v>18</v>
      </c>
      <c r="U5" s="60"/>
    </row>
    <row r="6" spans="2:23" x14ac:dyDescent="0.35">
      <c r="B6" s="60"/>
      <c r="C6" s="247"/>
      <c r="D6" s="247"/>
      <c r="E6" s="61" t="s">
        <v>19</v>
      </c>
      <c r="F6" s="61" t="s">
        <v>92</v>
      </c>
      <c r="G6" s="247"/>
      <c r="H6" s="60"/>
      <c r="I6" s="247"/>
      <c r="J6" s="247"/>
      <c r="K6" s="61" t="s">
        <v>19</v>
      </c>
      <c r="L6" s="61" t="s">
        <v>7</v>
      </c>
      <c r="M6" s="61" t="s">
        <v>8</v>
      </c>
      <c r="N6" s="61" t="s">
        <v>9</v>
      </c>
      <c r="O6" s="61" t="s">
        <v>11</v>
      </c>
      <c r="P6" s="61" t="s">
        <v>6</v>
      </c>
      <c r="Q6" s="61" t="s">
        <v>12</v>
      </c>
      <c r="R6" s="61" t="s">
        <v>13</v>
      </c>
      <c r="S6" s="61" t="s">
        <v>10</v>
      </c>
      <c r="T6" s="247"/>
      <c r="U6" s="60"/>
    </row>
    <row r="7" spans="2:23" x14ac:dyDescent="0.35">
      <c r="B7" s="60"/>
      <c r="C7" s="248" t="s">
        <v>143</v>
      </c>
      <c r="D7" s="96" t="s">
        <v>27</v>
      </c>
      <c r="E7" s="98">
        <f t="shared" ref="E7:E12" si="0">K7</f>
        <v>179486946.37500003</v>
      </c>
      <c r="F7" s="98">
        <f t="shared" ref="F7:F12" si="1">SUM(L7:S7)</f>
        <v>698990671.82264996</v>
      </c>
      <c r="G7" s="98">
        <f t="shared" ref="G7:G12" si="2">SUM(E7:F7)</f>
        <v>878477618.19764996</v>
      </c>
      <c r="H7" s="60"/>
      <c r="I7" s="248" t="s">
        <v>143</v>
      </c>
      <c r="J7" s="96" t="s">
        <v>27</v>
      </c>
      <c r="K7" s="98">
        <v>179486946.37500003</v>
      </c>
      <c r="L7" s="98">
        <v>88632009.586999997</v>
      </c>
      <c r="M7" s="98">
        <v>560430858.47564995</v>
      </c>
      <c r="N7" s="98">
        <v>7687249.9200000037</v>
      </c>
      <c r="O7" s="98">
        <v>0</v>
      </c>
      <c r="P7" s="98">
        <v>6737809.8399999999</v>
      </c>
      <c r="Q7" s="98">
        <v>0</v>
      </c>
      <c r="R7" s="98">
        <v>0</v>
      </c>
      <c r="S7" s="98">
        <v>35502744</v>
      </c>
      <c r="T7" s="98">
        <f t="shared" ref="T7:T12" si="3">SUM(K7:S7)</f>
        <v>878477618.19764996</v>
      </c>
      <c r="U7" s="60"/>
    </row>
    <row r="8" spans="2:23" x14ac:dyDescent="0.35">
      <c r="B8" s="60"/>
      <c r="C8" s="249"/>
      <c r="D8" s="62" t="s">
        <v>22</v>
      </c>
      <c r="E8" s="41">
        <f t="shared" si="0"/>
        <v>0</v>
      </c>
      <c r="F8" s="99">
        <f t="shared" si="1"/>
        <v>1152649717.6256499</v>
      </c>
      <c r="G8" s="99">
        <f t="shared" si="2"/>
        <v>1152649717.6256499</v>
      </c>
      <c r="H8" s="60"/>
      <c r="I8" s="249"/>
      <c r="J8" s="62" t="s">
        <v>22</v>
      </c>
      <c r="K8" s="41">
        <v>0</v>
      </c>
      <c r="L8" s="99">
        <v>72515872.189999998</v>
      </c>
      <c r="M8" s="99">
        <v>629189896.94564998</v>
      </c>
      <c r="N8" s="99">
        <v>0</v>
      </c>
      <c r="O8" s="99">
        <v>157008610</v>
      </c>
      <c r="P8" s="99">
        <v>0</v>
      </c>
      <c r="Q8" s="99">
        <v>117756457.5</v>
      </c>
      <c r="R8" s="99">
        <v>117756457.5</v>
      </c>
      <c r="S8" s="99">
        <v>58422423.489999995</v>
      </c>
      <c r="T8" s="99">
        <f t="shared" si="3"/>
        <v>1152649717.6256499</v>
      </c>
      <c r="U8" s="60"/>
    </row>
    <row r="9" spans="2:23" x14ac:dyDescent="0.35">
      <c r="B9" s="60"/>
      <c r="C9" s="250"/>
      <c r="D9" s="97" t="s">
        <v>2</v>
      </c>
      <c r="E9" s="100">
        <f t="shared" si="0"/>
        <v>1237075934.925</v>
      </c>
      <c r="F9" s="100">
        <f t="shared" si="1"/>
        <v>460637113.8405</v>
      </c>
      <c r="G9" s="100">
        <f t="shared" si="2"/>
        <v>1697713048.7655001</v>
      </c>
      <c r="H9" s="60"/>
      <c r="I9" s="250"/>
      <c r="J9" s="97" t="s">
        <v>2</v>
      </c>
      <c r="K9" s="100">
        <v>1237075934.925</v>
      </c>
      <c r="L9" s="100">
        <v>132238628.20300001</v>
      </c>
      <c r="M9" s="100">
        <v>229981957.83750001</v>
      </c>
      <c r="N9" s="100">
        <v>91678717.959999979</v>
      </c>
      <c r="O9" s="100">
        <v>0</v>
      </c>
      <c r="P9" s="100">
        <v>6737809.8399999999</v>
      </c>
      <c r="Q9" s="100">
        <v>0</v>
      </c>
      <c r="R9" s="100">
        <v>0</v>
      </c>
      <c r="S9" s="100">
        <v>0</v>
      </c>
      <c r="T9" s="100">
        <f t="shared" si="3"/>
        <v>1697713048.7655001</v>
      </c>
      <c r="U9" s="60"/>
    </row>
    <row r="10" spans="2:23" x14ac:dyDescent="0.35">
      <c r="B10" s="60"/>
      <c r="C10" s="251" t="s">
        <v>95</v>
      </c>
      <c r="D10" s="96" t="s">
        <v>27</v>
      </c>
      <c r="E10" s="98">
        <f t="shared" si="0"/>
        <v>488524020.89000005</v>
      </c>
      <c r="F10" s="98">
        <f t="shared" si="1"/>
        <v>56328886.399999991</v>
      </c>
      <c r="G10" s="98">
        <f t="shared" si="2"/>
        <v>544852907.29000008</v>
      </c>
      <c r="H10" s="60"/>
      <c r="I10" s="251" t="s">
        <v>95</v>
      </c>
      <c r="J10" s="96" t="s">
        <v>27</v>
      </c>
      <c r="K10" s="98">
        <v>488524020.89000005</v>
      </c>
      <c r="L10" s="98">
        <v>56328886.399999991</v>
      </c>
      <c r="M10" s="98">
        <v>0</v>
      </c>
      <c r="N10" s="98">
        <v>0</v>
      </c>
      <c r="O10" s="98">
        <v>0</v>
      </c>
      <c r="P10" s="98">
        <v>0</v>
      </c>
      <c r="Q10" s="98">
        <v>0</v>
      </c>
      <c r="R10" s="98">
        <v>0</v>
      </c>
      <c r="S10" s="98">
        <v>0</v>
      </c>
      <c r="T10" s="98">
        <f t="shared" si="3"/>
        <v>544852907.29000008</v>
      </c>
      <c r="U10" s="60"/>
    </row>
    <row r="11" spans="2:23" x14ac:dyDescent="0.35">
      <c r="B11" s="60"/>
      <c r="C11" s="252"/>
      <c r="D11" s="62" t="s">
        <v>22</v>
      </c>
      <c r="E11" s="41">
        <f t="shared" si="0"/>
        <v>0</v>
      </c>
      <c r="F11" s="99">
        <f t="shared" si="1"/>
        <v>128889103.76000001</v>
      </c>
      <c r="G11" s="99">
        <f t="shared" si="2"/>
        <v>128889103.76000001</v>
      </c>
      <c r="H11" s="60"/>
      <c r="I11" s="252"/>
      <c r="J11" s="62" t="s">
        <v>22</v>
      </c>
      <c r="K11" s="41">
        <v>0</v>
      </c>
      <c r="L11" s="99">
        <v>77977969.460000008</v>
      </c>
      <c r="M11" s="101">
        <f>'Resultados toneladas'!M11*'Resultados t-km'!W4</f>
        <v>0</v>
      </c>
      <c r="N11" s="99">
        <v>0</v>
      </c>
      <c r="O11" s="99">
        <v>0</v>
      </c>
      <c r="P11" s="99">
        <v>0</v>
      </c>
      <c r="Q11" s="99">
        <v>0</v>
      </c>
      <c r="R11" s="99">
        <v>50911134.299999997</v>
      </c>
      <c r="S11" s="99">
        <v>0</v>
      </c>
      <c r="T11" s="99">
        <f t="shared" si="3"/>
        <v>128889103.76000001</v>
      </c>
      <c r="U11" s="60"/>
    </row>
    <row r="12" spans="2:23" x14ac:dyDescent="0.35">
      <c r="B12" s="60"/>
      <c r="C12" s="253"/>
      <c r="D12" s="97" t="s">
        <v>2</v>
      </c>
      <c r="E12" s="100">
        <f t="shared" si="0"/>
        <v>1927426423.7930002</v>
      </c>
      <c r="F12" s="100">
        <f t="shared" si="1"/>
        <v>592882088.25999999</v>
      </c>
      <c r="G12" s="100">
        <f t="shared" si="2"/>
        <v>2520308512.0530005</v>
      </c>
      <c r="H12" s="60"/>
      <c r="I12" s="253"/>
      <c r="J12" s="97" t="s">
        <v>2</v>
      </c>
      <c r="K12" s="100">
        <v>1927426423.7930002</v>
      </c>
      <c r="L12" s="100">
        <v>592882088.25999999</v>
      </c>
      <c r="M12" s="100">
        <v>0</v>
      </c>
      <c r="N12" s="100">
        <v>0</v>
      </c>
      <c r="O12" s="100">
        <v>0</v>
      </c>
      <c r="P12" s="100">
        <v>0</v>
      </c>
      <c r="Q12" s="100">
        <v>0</v>
      </c>
      <c r="R12" s="100">
        <v>0</v>
      </c>
      <c r="S12" s="100">
        <v>0</v>
      </c>
      <c r="T12" s="100">
        <f t="shared" si="3"/>
        <v>2520308512.0530005</v>
      </c>
      <c r="U12" s="60"/>
    </row>
    <row r="13" spans="2:23" x14ac:dyDescent="0.35">
      <c r="B13" s="60"/>
      <c r="C13" s="243" t="s">
        <v>18</v>
      </c>
      <c r="D13" s="245"/>
      <c r="E13" s="63">
        <f>SUM(E7:E12)</f>
        <v>3832513325.9830003</v>
      </c>
      <c r="F13" s="63">
        <f>SUM(F7:F12)</f>
        <v>3090377581.7088003</v>
      </c>
      <c r="G13" s="64">
        <f>SUM(G7:G12)</f>
        <v>6922890907.6918001</v>
      </c>
      <c r="H13" s="60"/>
      <c r="I13" s="243" t="s">
        <v>18</v>
      </c>
      <c r="J13" s="245"/>
      <c r="K13" s="63">
        <f>SUM(K7:K12)</f>
        <v>3832513325.9830003</v>
      </c>
      <c r="L13" s="63">
        <f>SUM(L7:L12)</f>
        <v>1020575454.1</v>
      </c>
      <c r="M13" s="63">
        <f>SUM(M7:M12)</f>
        <v>1419602713.2588</v>
      </c>
      <c r="N13" s="63">
        <f t="shared" ref="N13:S13" si="4">SUM(N7:N12)</f>
        <v>99365967.87999998</v>
      </c>
      <c r="O13" s="63">
        <f t="shared" si="4"/>
        <v>157008610</v>
      </c>
      <c r="P13" s="63">
        <f t="shared" si="4"/>
        <v>13475619.68</v>
      </c>
      <c r="Q13" s="63">
        <f t="shared" si="4"/>
        <v>117756457.5</v>
      </c>
      <c r="R13" s="63">
        <f t="shared" si="4"/>
        <v>168667591.80000001</v>
      </c>
      <c r="S13" s="63">
        <f t="shared" si="4"/>
        <v>93925167.489999995</v>
      </c>
      <c r="T13" s="64">
        <f>SUM(T7:T12)</f>
        <v>6922890907.6918001</v>
      </c>
      <c r="U13" s="60"/>
    </row>
    <row r="14" spans="2:23" x14ac:dyDescent="0.35">
      <c r="B14" s="60"/>
      <c r="C14" s="60"/>
      <c r="D14" s="60"/>
      <c r="E14" s="60"/>
      <c r="F14" s="60"/>
      <c r="G14" s="60"/>
      <c r="H14" s="60"/>
      <c r="I14" s="60"/>
      <c r="J14" s="60"/>
      <c r="K14" s="60"/>
      <c r="L14" s="60"/>
      <c r="M14" s="60"/>
      <c r="N14" s="60"/>
      <c r="O14" s="60"/>
      <c r="P14" s="60"/>
      <c r="Q14" s="60"/>
      <c r="R14" s="60"/>
      <c r="S14" s="60"/>
      <c r="T14" s="60"/>
      <c r="U14" s="60"/>
    </row>
    <row r="15" spans="2:23" x14ac:dyDescent="0.35">
      <c r="B15" s="60"/>
      <c r="C15" s="60" t="s">
        <v>127</v>
      </c>
      <c r="D15" s="60"/>
      <c r="E15" s="60"/>
      <c r="F15" s="60"/>
      <c r="G15" s="60"/>
      <c r="H15" s="60"/>
      <c r="I15" s="60" t="s">
        <v>127</v>
      </c>
      <c r="J15" s="60"/>
      <c r="K15" s="60"/>
      <c r="L15" s="60"/>
      <c r="M15" s="60"/>
      <c r="N15" s="60"/>
      <c r="O15" s="60"/>
      <c r="P15" s="60"/>
      <c r="Q15" s="60"/>
      <c r="R15" s="60"/>
      <c r="S15" s="60"/>
      <c r="T15" s="60"/>
      <c r="U15" s="60"/>
    </row>
    <row r="16" spans="2:23" x14ac:dyDescent="0.35">
      <c r="B16" s="60"/>
      <c r="C16" s="246" t="s">
        <v>3</v>
      </c>
      <c r="D16" s="246" t="s">
        <v>1</v>
      </c>
      <c r="E16" s="243" t="s">
        <v>5</v>
      </c>
      <c r="F16" s="245"/>
      <c r="G16" s="246" t="s">
        <v>18</v>
      </c>
      <c r="H16" s="60"/>
      <c r="I16" s="246" t="s">
        <v>3</v>
      </c>
      <c r="J16" s="246" t="s">
        <v>1</v>
      </c>
      <c r="K16" s="243" t="s">
        <v>5</v>
      </c>
      <c r="L16" s="244"/>
      <c r="M16" s="244"/>
      <c r="N16" s="244"/>
      <c r="O16" s="244"/>
      <c r="P16" s="244"/>
      <c r="Q16" s="244"/>
      <c r="R16" s="244"/>
      <c r="S16" s="245"/>
      <c r="T16" s="246" t="s">
        <v>18</v>
      </c>
      <c r="U16" s="60"/>
    </row>
    <row r="17" spans="2:21" x14ac:dyDescent="0.35">
      <c r="B17" s="60"/>
      <c r="C17" s="247"/>
      <c r="D17" s="247"/>
      <c r="E17" s="61" t="s">
        <v>19</v>
      </c>
      <c r="F17" s="61" t="s">
        <v>92</v>
      </c>
      <c r="G17" s="247"/>
      <c r="H17" s="60"/>
      <c r="I17" s="247"/>
      <c r="J17" s="247"/>
      <c r="K17" s="61" t="s">
        <v>19</v>
      </c>
      <c r="L17" s="61" t="s">
        <v>7</v>
      </c>
      <c r="M17" s="61" t="s">
        <v>8</v>
      </c>
      <c r="N17" s="61" t="s">
        <v>9</v>
      </c>
      <c r="O17" s="61" t="s">
        <v>11</v>
      </c>
      <c r="P17" s="61" t="s">
        <v>6</v>
      </c>
      <c r="Q17" s="61" t="s">
        <v>12</v>
      </c>
      <c r="R17" s="61" t="s">
        <v>13</v>
      </c>
      <c r="S17" s="61" t="s">
        <v>10</v>
      </c>
      <c r="T17" s="247"/>
      <c r="U17" s="60"/>
    </row>
    <row r="18" spans="2:21" x14ac:dyDescent="0.35">
      <c r="B18" s="60"/>
      <c r="C18" s="248" t="s">
        <v>143</v>
      </c>
      <c r="D18" s="96" t="s">
        <v>27</v>
      </c>
      <c r="E18" s="65">
        <f t="shared" ref="E18:F20" si="5">E7/SUM(E$7:E$9)</f>
        <v>0.12670595054014283</v>
      </c>
      <c r="F18" s="65">
        <f t="shared" si="5"/>
        <v>0.3022953217459674</v>
      </c>
      <c r="G18" s="65"/>
      <c r="H18" s="60"/>
      <c r="I18" s="248" t="s">
        <v>143</v>
      </c>
      <c r="J18" s="96" t="s">
        <v>27</v>
      </c>
      <c r="K18" s="98"/>
      <c r="L18" s="65">
        <f>L7/SUM($L7:$S7)</f>
        <v>0.1267999891270194</v>
      </c>
      <c r="M18" s="65">
        <f t="shared" ref="L18:M23" si="6">M7/SUM($L7:$S7)</f>
        <v>0.80177158446807451</v>
      </c>
      <c r="N18" s="65">
        <f t="shared" ref="N18:S23" si="7">N7/SUM($L7:$S7)</f>
        <v>1.0997643072911331E-2</v>
      </c>
      <c r="O18" s="65">
        <f t="shared" si="7"/>
        <v>0</v>
      </c>
      <c r="P18" s="65">
        <f t="shared" si="7"/>
        <v>9.6393415700825515E-3</v>
      </c>
      <c r="Q18" s="65">
        <f t="shared" si="7"/>
        <v>0</v>
      </c>
      <c r="R18" s="65">
        <f t="shared" si="7"/>
        <v>0</v>
      </c>
      <c r="S18" s="65">
        <f t="shared" si="7"/>
        <v>5.0791441761912186E-2</v>
      </c>
      <c r="T18" s="65"/>
      <c r="U18" s="60"/>
    </row>
    <row r="19" spans="2:21" x14ac:dyDescent="0.35">
      <c r="B19" s="60"/>
      <c r="C19" s="249"/>
      <c r="D19" s="62" t="s">
        <v>22</v>
      </c>
      <c r="E19" s="66">
        <f t="shared" si="5"/>
        <v>0</v>
      </c>
      <c r="F19" s="67">
        <f t="shared" si="5"/>
        <v>0.498491083352328</v>
      </c>
      <c r="G19" s="67"/>
      <c r="H19" s="60"/>
      <c r="I19" s="249"/>
      <c r="J19" s="62" t="s">
        <v>22</v>
      </c>
      <c r="K19" s="41"/>
      <c r="L19" s="67">
        <f>L8/SUM($L8:$S8)</f>
        <v>6.2912323736456444E-2</v>
      </c>
      <c r="M19" s="67">
        <f t="shared" si="6"/>
        <v>0.54586392320619492</v>
      </c>
      <c r="N19" s="67">
        <f t="shared" si="7"/>
        <v>0</v>
      </c>
      <c r="O19" s="67">
        <f t="shared" si="7"/>
        <v>0.13621537193747202</v>
      </c>
      <c r="P19" s="67">
        <f t="shared" si="7"/>
        <v>0</v>
      </c>
      <c r="Q19" s="67">
        <f t="shared" si="7"/>
        <v>0.10216152895310401</v>
      </c>
      <c r="R19" s="67">
        <f t="shared" si="7"/>
        <v>0.10216152895310401</v>
      </c>
      <c r="S19" s="67">
        <f t="shared" si="7"/>
        <v>5.068532321366867E-2</v>
      </c>
      <c r="T19" s="67"/>
      <c r="U19" s="60"/>
    </row>
    <row r="20" spans="2:21" x14ac:dyDescent="0.35">
      <c r="B20" s="60"/>
      <c r="C20" s="250"/>
      <c r="D20" s="97" t="s">
        <v>2</v>
      </c>
      <c r="E20" s="68">
        <f t="shared" si="5"/>
        <v>0.87329404945985722</v>
      </c>
      <c r="F20" s="68">
        <f t="shared" si="5"/>
        <v>0.19921359490170465</v>
      </c>
      <c r="G20" s="68"/>
      <c r="H20" s="60"/>
      <c r="I20" s="250"/>
      <c r="J20" s="97" t="s">
        <v>2</v>
      </c>
      <c r="K20" s="100"/>
      <c r="L20" s="68">
        <f t="shared" si="6"/>
        <v>0.2870776674950879</v>
      </c>
      <c r="M20" s="68">
        <f t="shared" si="6"/>
        <v>0.49926927493978146</v>
      </c>
      <c r="N20" s="68">
        <f t="shared" si="7"/>
        <v>0.19902590391738303</v>
      </c>
      <c r="O20" s="68">
        <f t="shared" si="7"/>
        <v>0</v>
      </c>
      <c r="P20" s="68">
        <f t="shared" si="7"/>
        <v>1.4627153647747608E-2</v>
      </c>
      <c r="Q20" s="68">
        <f t="shared" si="7"/>
        <v>0</v>
      </c>
      <c r="R20" s="68">
        <f t="shared" si="7"/>
        <v>0</v>
      </c>
      <c r="S20" s="68">
        <f t="shared" si="7"/>
        <v>0</v>
      </c>
      <c r="T20" s="68"/>
      <c r="U20" s="60"/>
    </row>
    <row r="21" spans="2:21" x14ac:dyDescent="0.35">
      <c r="B21" s="60"/>
      <c r="C21" s="251" t="s">
        <v>95</v>
      </c>
      <c r="D21" s="96" t="s">
        <v>27</v>
      </c>
      <c r="E21" s="65">
        <f t="shared" ref="E21:F23" si="8">E10/SUM(E$10:E$12)</f>
        <v>0.20220779857680396</v>
      </c>
      <c r="F21" s="65">
        <f t="shared" si="8"/>
        <v>7.2392855318021185E-2</v>
      </c>
      <c r="G21" s="65"/>
      <c r="H21" s="60"/>
      <c r="I21" s="251" t="s">
        <v>95</v>
      </c>
      <c r="J21" s="96" t="s">
        <v>27</v>
      </c>
      <c r="K21" s="98"/>
      <c r="L21" s="65">
        <f t="shared" si="6"/>
        <v>1</v>
      </c>
      <c r="M21" s="65">
        <f t="shared" si="6"/>
        <v>0</v>
      </c>
      <c r="N21" s="65">
        <f t="shared" si="7"/>
        <v>0</v>
      </c>
      <c r="O21" s="65">
        <f t="shared" si="7"/>
        <v>0</v>
      </c>
      <c r="P21" s="65">
        <f t="shared" si="7"/>
        <v>0</v>
      </c>
      <c r="Q21" s="65">
        <f t="shared" si="7"/>
        <v>0</v>
      </c>
      <c r="R21" s="65">
        <f t="shared" si="7"/>
        <v>0</v>
      </c>
      <c r="S21" s="65">
        <f t="shared" si="7"/>
        <v>0</v>
      </c>
      <c r="T21" s="65"/>
      <c r="U21" s="60"/>
    </row>
    <row r="22" spans="2:21" x14ac:dyDescent="0.35">
      <c r="B22" s="60"/>
      <c r="C22" s="252"/>
      <c r="D22" s="62" t="s">
        <v>22</v>
      </c>
      <c r="E22" s="66">
        <f t="shared" si="8"/>
        <v>0</v>
      </c>
      <c r="F22" s="67">
        <f t="shared" si="8"/>
        <v>0.16564592053726632</v>
      </c>
      <c r="G22" s="67"/>
      <c r="H22" s="60"/>
      <c r="I22" s="252"/>
      <c r="J22" s="62" t="s">
        <v>22</v>
      </c>
      <c r="K22" s="41"/>
      <c r="L22" s="67">
        <f t="shared" si="6"/>
        <v>0.60500047859127115</v>
      </c>
      <c r="M22" s="67">
        <f t="shared" si="6"/>
        <v>0</v>
      </c>
      <c r="N22" s="67">
        <f t="shared" si="7"/>
        <v>0</v>
      </c>
      <c r="O22" s="67">
        <f t="shared" si="7"/>
        <v>0</v>
      </c>
      <c r="P22" s="67">
        <f t="shared" si="7"/>
        <v>0</v>
      </c>
      <c r="Q22" s="67">
        <f t="shared" si="7"/>
        <v>0</v>
      </c>
      <c r="R22" s="67">
        <f>R11/SUM($L11:$S11)</f>
        <v>0.39499952140872885</v>
      </c>
      <c r="S22" s="67">
        <f t="shared" si="7"/>
        <v>0</v>
      </c>
      <c r="T22" s="67"/>
      <c r="U22" s="60"/>
    </row>
    <row r="23" spans="2:21" x14ac:dyDescent="0.35">
      <c r="B23" s="60"/>
      <c r="C23" s="253"/>
      <c r="D23" s="97" t="s">
        <v>2</v>
      </c>
      <c r="E23" s="68">
        <f t="shared" si="8"/>
        <v>0.79779220142319607</v>
      </c>
      <c r="F23" s="68">
        <f t="shared" si="8"/>
        <v>0.76196122414471257</v>
      </c>
      <c r="G23" s="68"/>
      <c r="H23" s="60"/>
      <c r="I23" s="253"/>
      <c r="J23" s="97" t="s">
        <v>2</v>
      </c>
      <c r="K23" s="100"/>
      <c r="L23" s="68">
        <f t="shared" si="6"/>
        <v>1</v>
      </c>
      <c r="M23" s="68">
        <f t="shared" si="6"/>
        <v>0</v>
      </c>
      <c r="N23" s="68">
        <f t="shared" si="7"/>
        <v>0</v>
      </c>
      <c r="O23" s="68">
        <f t="shared" si="7"/>
        <v>0</v>
      </c>
      <c r="P23" s="68">
        <f t="shared" si="7"/>
        <v>0</v>
      </c>
      <c r="Q23" s="68">
        <f t="shared" si="7"/>
        <v>0</v>
      </c>
      <c r="R23" s="68">
        <f t="shared" si="7"/>
        <v>0</v>
      </c>
      <c r="S23" s="68">
        <f t="shared" si="7"/>
        <v>0</v>
      </c>
      <c r="T23" s="68"/>
      <c r="U23" s="60"/>
    </row>
    <row r="24" spans="2:21" x14ac:dyDescent="0.35">
      <c r="B24" s="60"/>
      <c r="C24" s="243" t="s">
        <v>18</v>
      </c>
      <c r="D24" s="245"/>
      <c r="E24" s="69">
        <f>SUM(E18:E23)</f>
        <v>2</v>
      </c>
      <c r="F24" s="69">
        <f>SUM(F18:F23)</f>
        <v>2</v>
      </c>
      <c r="G24" s="70"/>
      <c r="H24" s="60"/>
      <c r="I24" s="243" t="s">
        <v>18</v>
      </c>
      <c r="J24" s="245"/>
      <c r="K24" s="63"/>
      <c r="L24" s="69">
        <f>L13/SUM($L13:$S13)</f>
        <v>0.33024296452981672</v>
      </c>
      <c r="M24" s="69">
        <f t="shared" ref="M24:S24" si="9">M13/SUM($L13:$S13)</f>
        <v>0.45936222216375316</v>
      </c>
      <c r="N24" s="69">
        <f t="shared" si="9"/>
        <v>3.2153342189680377E-2</v>
      </c>
      <c r="O24" s="69">
        <f t="shared" si="9"/>
        <v>5.0805639715126118E-2</v>
      </c>
      <c r="P24" s="69">
        <f t="shared" si="9"/>
        <v>4.3605091364106912E-3</v>
      </c>
      <c r="Q24" s="69">
        <f t="shared" si="9"/>
        <v>3.8104229786344583E-2</v>
      </c>
      <c r="R24" s="69">
        <f t="shared" si="9"/>
        <v>5.4578311983073793E-2</v>
      </c>
      <c r="S24" s="69">
        <f t="shared" si="9"/>
        <v>3.0392780495794566E-2</v>
      </c>
      <c r="T24" s="70"/>
      <c r="U24" s="60"/>
    </row>
    <row r="25" spans="2:21" x14ac:dyDescent="0.35">
      <c r="B25" s="60"/>
      <c r="C25" s="60"/>
      <c r="D25" s="60"/>
      <c r="E25" s="60"/>
      <c r="F25" s="60"/>
      <c r="G25" s="60"/>
      <c r="H25" s="60"/>
      <c r="I25" s="60"/>
      <c r="J25" s="60"/>
      <c r="K25" s="60"/>
      <c r="L25" s="60"/>
      <c r="M25" s="60"/>
      <c r="N25" s="60"/>
      <c r="O25" s="60"/>
      <c r="P25" s="60"/>
      <c r="Q25" s="60"/>
      <c r="R25" s="60"/>
      <c r="S25" s="60"/>
      <c r="T25" s="60"/>
      <c r="U25" s="60"/>
    </row>
    <row r="27" spans="2:21" x14ac:dyDescent="0.35">
      <c r="C27" s="59" t="s">
        <v>128</v>
      </c>
    </row>
    <row r="28" spans="2:21" x14ac:dyDescent="0.35">
      <c r="B28" s="71"/>
      <c r="C28" s="71"/>
      <c r="D28" s="71"/>
      <c r="E28" s="71"/>
      <c r="F28" s="71"/>
      <c r="G28" s="71"/>
      <c r="H28" s="71"/>
    </row>
    <row r="29" spans="2:21" x14ac:dyDescent="0.35">
      <c r="B29" s="71"/>
      <c r="C29" s="71" t="s">
        <v>137</v>
      </c>
      <c r="D29" s="71"/>
      <c r="E29" s="71"/>
      <c r="F29" s="71"/>
      <c r="G29" s="71"/>
      <c r="H29" s="71"/>
    </row>
    <row r="30" spans="2:21" x14ac:dyDescent="0.35">
      <c r="B30" s="71"/>
      <c r="C30" s="254" t="s">
        <v>3</v>
      </c>
      <c r="D30" s="254" t="s">
        <v>17</v>
      </c>
      <c r="E30" s="256" t="s">
        <v>5</v>
      </c>
      <c r="F30" s="257"/>
      <c r="G30" s="254" t="s">
        <v>18</v>
      </c>
      <c r="H30" s="71"/>
    </row>
    <row r="31" spans="2:21" x14ac:dyDescent="0.35">
      <c r="B31" s="71"/>
      <c r="C31" s="255"/>
      <c r="D31" s="255"/>
      <c r="E31" s="72" t="s">
        <v>19</v>
      </c>
      <c r="F31" s="72" t="s">
        <v>92</v>
      </c>
      <c r="G31" s="255"/>
      <c r="H31" s="71"/>
    </row>
    <row r="32" spans="2:21" x14ac:dyDescent="0.35">
      <c r="B32" s="71"/>
      <c r="C32" s="261" t="s">
        <v>4</v>
      </c>
      <c r="D32" s="94" t="s">
        <v>0</v>
      </c>
      <c r="E32" s="73">
        <f>'Ajuste anuario'!D14</f>
        <v>1847000000</v>
      </c>
      <c r="F32" s="73">
        <f>'Ajuste anuario'!D15</f>
        <v>2558540000</v>
      </c>
      <c r="G32" s="73">
        <f>F32+E32</f>
        <v>4405540000</v>
      </c>
      <c r="H32" s="71"/>
    </row>
    <row r="33" spans="2:21" x14ac:dyDescent="0.35">
      <c r="B33" s="71"/>
      <c r="C33" s="262"/>
      <c r="D33" s="95" t="s">
        <v>31</v>
      </c>
      <c r="E33" s="74">
        <f>'Ajuste anuario'!D19</f>
        <v>3007580000</v>
      </c>
      <c r="F33" s="74">
        <f>'Ajuste anuario'!D20</f>
        <v>884420000</v>
      </c>
      <c r="G33" s="74">
        <f>F33+E33</f>
        <v>3892000000</v>
      </c>
      <c r="H33" s="71"/>
    </row>
    <row r="34" spans="2:21" x14ac:dyDescent="0.35">
      <c r="B34" s="71"/>
      <c r="C34" s="261" t="s">
        <v>15</v>
      </c>
      <c r="D34" s="94" t="s">
        <v>0</v>
      </c>
      <c r="E34" s="73">
        <f>'Ajuste anuario'!D7</f>
        <v>1038000000</v>
      </c>
      <c r="F34" s="73">
        <f>'Ajuste anuario'!D8</f>
        <v>179950000</v>
      </c>
      <c r="G34" s="73">
        <f>F34+E34</f>
        <v>1217950000</v>
      </c>
      <c r="H34" s="71"/>
    </row>
    <row r="35" spans="2:21" x14ac:dyDescent="0.35">
      <c r="B35" s="71"/>
      <c r="C35" s="262"/>
      <c r="D35" s="95" t="s">
        <v>31</v>
      </c>
      <c r="E35" s="74">
        <f>'Ajuste anuario'!D10</f>
        <v>150000000</v>
      </c>
      <c r="F35" s="74">
        <f>'Ajuste anuario'!D11</f>
        <v>431500000</v>
      </c>
      <c r="G35" s="74">
        <f>F35+E35</f>
        <v>581500000</v>
      </c>
      <c r="H35" s="71"/>
    </row>
    <row r="36" spans="2:21" x14ac:dyDescent="0.35">
      <c r="B36" s="71"/>
      <c r="C36" s="256" t="s">
        <v>18</v>
      </c>
      <c r="D36" s="257"/>
      <c r="E36" s="75">
        <f>SUM(E32:E35)</f>
        <v>6042580000</v>
      </c>
      <c r="F36" s="75">
        <f>SUM(F32:F35)</f>
        <v>4054410000</v>
      </c>
      <c r="G36" s="93">
        <f>SUM(G32:G35)</f>
        <v>10096990000</v>
      </c>
      <c r="H36" s="71"/>
    </row>
    <row r="37" spans="2:21" x14ac:dyDescent="0.35">
      <c r="B37" s="71"/>
      <c r="C37" s="71"/>
      <c r="D37" s="71"/>
      <c r="E37" s="76">
        <f>E36/G36</f>
        <v>0.59845359854768598</v>
      </c>
      <c r="F37" s="76">
        <f>F36/G36</f>
        <v>0.40154640145231402</v>
      </c>
      <c r="G37" s="71"/>
      <c r="H37" s="71"/>
    </row>
    <row r="39" spans="2:21" x14ac:dyDescent="0.35">
      <c r="C39" s="59" t="s">
        <v>129</v>
      </c>
    </row>
    <row r="40" spans="2:21" x14ac:dyDescent="0.35">
      <c r="B40" s="77"/>
      <c r="C40" s="77"/>
      <c r="D40" s="77"/>
      <c r="E40" s="77"/>
      <c r="F40" s="77"/>
      <c r="G40" s="77"/>
      <c r="H40" s="77"/>
      <c r="I40" s="77"/>
      <c r="J40" s="77"/>
      <c r="K40" s="77"/>
      <c r="L40" s="77"/>
      <c r="M40" s="77"/>
      <c r="N40" s="77"/>
      <c r="O40" s="77"/>
      <c r="P40" s="77"/>
      <c r="Q40" s="77"/>
      <c r="R40" s="77"/>
      <c r="S40" s="77"/>
      <c r="T40" s="77"/>
      <c r="U40" s="77"/>
    </row>
    <row r="41" spans="2:21" x14ac:dyDescent="0.35">
      <c r="B41" s="77"/>
      <c r="C41" s="77" t="s">
        <v>130</v>
      </c>
      <c r="D41" s="77"/>
      <c r="E41" s="77"/>
      <c r="F41" s="77"/>
      <c r="G41" s="77"/>
      <c r="H41" s="77"/>
      <c r="I41" s="77" t="s">
        <v>131</v>
      </c>
      <c r="J41" s="77"/>
      <c r="K41" s="77"/>
      <c r="L41" s="77"/>
      <c r="M41" s="77"/>
      <c r="N41" s="77"/>
      <c r="O41" s="77"/>
      <c r="P41" s="77"/>
      <c r="Q41" s="77"/>
      <c r="R41" s="77"/>
      <c r="S41" s="77"/>
      <c r="T41" s="77"/>
      <c r="U41" s="77"/>
    </row>
    <row r="42" spans="2:21" x14ac:dyDescent="0.35">
      <c r="B42" s="77"/>
      <c r="C42" s="263" t="s">
        <v>3</v>
      </c>
      <c r="D42" s="263" t="s">
        <v>1</v>
      </c>
      <c r="E42" s="265" t="s">
        <v>5</v>
      </c>
      <c r="F42" s="266"/>
      <c r="G42" s="263" t="s">
        <v>18</v>
      </c>
      <c r="H42" s="77"/>
      <c r="I42" s="263" t="s">
        <v>3</v>
      </c>
      <c r="J42" s="263" t="s">
        <v>1</v>
      </c>
      <c r="K42" s="265" t="s">
        <v>5</v>
      </c>
      <c r="L42" s="267"/>
      <c r="M42" s="267"/>
      <c r="N42" s="267"/>
      <c r="O42" s="267"/>
      <c r="P42" s="267"/>
      <c r="Q42" s="267"/>
      <c r="R42" s="267"/>
      <c r="S42" s="266"/>
      <c r="T42" s="263" t="s">
        <v>18</v>
      </c>
      <c r="U42" s="77"/>
    </row>
    <row r="43" spans="2:21" x14ac:dyDescent="0.35">
      <c r="B43" s="77"/>
      <c r="C43" s="264"/>
      <c r="D43" s="264"/>
      <c r="E43" s="78" t="s">
        <v>19</v>
      </c>
      <c r="F43" s="78" t="s">
        <v>92</v>
      </c>
      <c r="G43" s="264"/>
      <c r="H43" s="77"/>
      <c r="I43" s="264"/>
      <c r="J43" s="264"/>
      <c r="K43" s="78" t="s">
        <v>19</v>
      </c>
      <c r="L43" s="78" t="s">
        <v>7</v>
      </c>
      <c r="M43" s="78" t="s">
        <v>8</v>
      </c>
      <c r="N43" s="78" t="s">
        <v>9</v>
      </c>
      <c r="O43" s="78" t="s">
        <v>11</v>
      </c>
      <c r="P43" s="78" t="s">
        <v>6</v>
      </c>
      <c r="Q43" s="78" t="s">
        <v>12</v>
      </c>
      <c r="R43" s="78" t="s">
        <v>13</v>
      </c>
      <c r="S43" s="78" t="s">
        <v>10</v>
      </c>
      <c r="T43" s="264"/>
      <c r="U43" s="77"/>
    </row>
    <row r="44" spans="2:21" x14ac:dyDescent="0.35">
      <c r="B44" s="77"/>
      <c r="C44" s="258" t="s">
        <v>143</v>
      </c>
      <c r="D44" s="88" t="s">
        <v>27</v>
      </c>
      <c r="E44" s="90">
        <f t="shared" ref="E44:F46" si="10">E$32*E18</f>
        <v>234025890.6476438</v>
      </c>
      <c r="F44" s="90">
        <f t="shared" si="10"/>
        <v>773434672.4999274</v>
      </c>
      <c r="G44" s="90">
        <f t="shared" ref="G44:G49" si="11">SUM(E44:F44)</f>
        <v>1007460563.1475712</v>
      </c>
      <c r="H44" s="77"/>
      <c r="I44" s="258" t="s">
        <v>143</v>
      </c>
      <c r="J44" s="88" t="s">
        <v>27</v>
      </c>
      <c r="K44" s="90">
        <f t="shared" ref="K44:K49" si="12">E44</f>
        <v>234025890.6476438</v>
      </c>
      <c r="L44" s="90">
        <f t="shared" ref="L44:L49" si="13">$F44*L18</f>
        <v>98071508.063450605</v>
      </c>
      <c r="M44" s="90">
        <f t="shared" ref="M44:S47" si="14">$F44*M18</f>
        <v>620117942.85281312</v>
      </c>
      <c r="N44" s="90">
        <f t="shared" si="14"/>
        <v>8505958.4683682714</v>
      </c>
      <c r="O44" s="90">
        <f t="shared" si="14"/>
        <v>0</v>
      </c>
      <c r="P44" s="90">
        <f t="shared" si="14"/>
        <v>7455400.9903717339</v>
      </c>
      <c r="Q44" s="90">
        <f t="shared" si="14"/>
        <v>0</v>
      </c>
      <c r="R44" s="90">
        <f t="shared" si="14"/>
        <v>0</v>
      </c>
      <c r="S44" s="90">
        <f t="shared" si="14"/>
        <v>39283862.124923684</v>
      </c>
      <c r="T44" s="90">
        <f t="shared" ref="T44:T49" si="15">SUM(K44:S44)</f>
        <v>1007460563.1475712</v>
      </c>
      <c r="U44" s="77"/>
    </row>
    <row r="45" spans="2:21" x14ac:dyDescent="0.35">
      <c r="B45" s="77"/>
      <c r="C45" s="259"/>
      <c r="D45" s="79" t="s">
        <v>22</v>
      </c>
      <c r="E45" s="40">
        <f t="shared" si="10"/>
        <v>0</v>
      </c>
      <c r="F45" s="91">
        <f t="shared" si="10"/>
        <v>1275409376.4002652</v>
      </c>
      <c r="G45" s="91">
        <f t="shared" si="11"/>
        <v>1275409376.4002652</v>
      </c>
      <c r="H45" s="77"/>
      <c r="I45" s="259"/>
      <c r="J45" s="79" t="s">
        <v>22</v>
      </c>
      <c r="K45" s="40">
        <f t="shared" si="12"/>
        <v>0</v>
      </c>
      <c r="L45" s="91">
        <f t="shared" si="13"/>
        <v>80238967.584605515</v>
      </c>
      <c r="M45" s="91">
        <f>$F45*M19</f>
        <v>696199965.89581537</v>
      </c>
      <c r="N45" s="91">
        <f t="shared" si="14"/>
        <v>0</v>
      </c>
      <c r="O45" s="91">
        <f t="shared" si="14"/>
        <v>173730362.57890138</v>
      </c>
      <c r="P45" s="91">
        <f t="shared" si="14"/>
        <v>0</v>
      </c>
      <c r="Q45" s="91">
        <f t="shared" si="14"/>
        <v>130297771.93417603</v>
      </c>
      <c r="R45" s="91">
        <f t="shared" si="14"/>
        <v>130297771.93417603</v>
      </c>
      <c r="S45" s="91">
        <f t="shared" si="14"/>
        <v>64644536.472591043</v>
      </c>
      <c r="T45" s="91">
        <f t="shared" si="15"/>
        <v>1275409376.4002652</v>
      </c>
      <c r="U45" s="77"/>
    </row>
    <row r="46" spans="2:21" x14ac:dyDescent="0.35">
      <c r="B46" s="77"/>
      <c r="C46" s="260"/>
      <c r="D46" s="89" t="s">
        <v>2</v>
      </c>
      <c r="E46" s="92">
        <f t="shared" si="10"/>
        <v>1612974109.3523562</v>
      </c>
      <c r="F46" s="92">
        <f t="shared" si="10"/>
        <v>509695951.09980744</v>
      </c>
      <c r="G46" s="92">
        <f t="shared" si="11"/>
        <v>2122670060.4521637</v>
      </c>
      <c r="H46" s="77"/>
      <c r="I46" s="260"/>
      <c r="J46" s="89" t="s">
        <v>2</v>
      </c>
      <c r="K46" s="92">
        <f t="shared" si="12"/>
        <v>1612974109.3523562</v>
      </c>
      <c r="L46" s="92">
        <f t="shared" si="13"/>
        <v>146322324.77342311</v>
      </c>
      <c r="M46" s="92">
        <f t="shared" si="14"/>
        <v>254475527.94534317</v>
      </c>
      <c r="N46" s="92">
        <f t="shared" si="14"/>
        <v>101442697.39066944</v>
      </c>
      <c r="O46" s="92">
        <f t="shared" si="14"/>
        <v>0</v>
      </c>
      <c r="P46" s="92">
        <f t="shared" si="14"/>
        <v>7455400.9903717348</v>
      </c>
      <c r="Q46" s="92">
        <f t="shared" si="14"/>
        <v>0</v>
      </c>
      <c r="R46" s="92">
        <f t="shared" si="14"/>
        <v>0</v>
      </c>
      <c r="S46" s="92">
        <f t="shared" si="14"/>
        <v>0</v>
      </c>
      <c r="T46" s="92">
        <f t="shared" si="15"/>
        <v>2122670060.4521637</v>
      </c>
      <c r="U46" s="77"/>
    </row>
    <row r="47" spans="2:21" x14ac:dyDescent="0.35">
      <c r="B47" s="77"/>
      <c r="C47" s="258" t="s">
        <v>95</v>
      </c>
      <c r="D47" s="88" t="s">
        <v>27</v>
      </c>
      <c r="E47" s="90">
        <f t="shared" ref="E47:F49" si="16">E$33*E21</f>
        <v>608156130.843624</v>
      </c>
      <c r="F47" s="90">
        <f t="shared" si="16"/>
        <v>64025689.100364298</v>
      </c>
      <c r="G47" s="90">
        <f t="shared" si="11"/>
        <v>672181819.94398832</v>
      </c>
      <c r="H47" s="77"/>
      <c r="I47" s="258" t="s">
        <v>95</v>
      </c>
      <c r="J47" s="88" t="s">
        <v>27</v>
      </c>
      <c r="K47" s="90">
        <f t="shared" si="12"/>
        <v>608156130.843624</v>
      </c>
      <c r="L47" s="90">
        <f t="shared" si="13"/>
        <v>64025689.100364298</v>
      </c>
      <c r="M47" s="90">
        <f>$F47*M21</f>
        <v>0</v>
      </c>
      <c r="N47" s="90">
        <f t="shared" si="14"/>
        <v>0</v>
      </c>
      <c r="O47" s="90">
        <f t="shared" si="14"/>
        <v>0</v>
      </c>
      <c r="P47" s="90">
        <f t="shared" si="14"/>
        <v>0</v>
      </c>
      <c r="Q47" s="90">
        <f t="shared" si="14"/>
        <v>0</v>
      </c>
      <c r="R47" s="90">
        <f t="shared" si="14"/>
        <v>0</v>
      </c>
      <c r="S47" s="90">
        <f t="shared" si="14"/>
        <v>0</v>
      </c>
      <c r="T47" s="90">
        <f t="shared" si="15"/>
        <v>672181819.94398832</v>
      </c>
      <c r="U47" s="77"/>
    </row>
    <row r="48" spans="2:21" x14ac:dyDescent="0.35">
      <c r="B48" s="77"/>
      <c r="C48" s="259"/>
      <c r="D48" s="79" t="s">
        <v>22</v>
      </c>
      <c r="E48" s="40">
        <f t="shared" si="16"/>
        <v>0</v>
      </c>
      <c r="F48" s="91">
        <f t="shared" si="16"/>
        <v>146500565.04156908</v>
      </c>
      <c r="G48" s="91">
        <f t="shared" si="11"/>
        <v>146500565.04156908</v>
      </c>
      <c r="H48" s="77"/>
      <c r="I48" s="259"/>
      <c r="J48" s="79" t="s">
        <v>22</v>
      </c>
      <c r="K48" s="40">
        <f t="shared" si="12"/>
        <v>0</v>
      </c>
      <c r="L48" s="91">
        <f t="shared" si="13"/>
        <v>88632911.96404095</v>
      </c>
      <c r="M48" s="91">
        <f t="shared" ref="M48:S49" si="17">$F48*M22</f>
        <v>0</v>
      </c>
      <c r="N48" s="91">
        <f t="shared" si="17"/>
        <v>0</v>
      </c>
      <c r="O48" s="91">
        <f t="shared" si="17"/>
        <v>0</v>
      </c>
      <c r="P48" s="91">
        <f t="shared" si="17"/>
        <v>0</v>
      </c>
      <c r="Q48" s="91">
        <f t="shared" si="17"/>
        <v>0</v>
      </c>
      <c r="R48" s="91">
        <f t="shared" si="17"/>
        <v>57867653.077528141</v>
      </c>
      <c r="S48" s="91">
        <f t="shared" si="17"/>
        <v>0</v>
      </c>
      <c r="T48" s="91">
        <f t="shared" si="15"/>
        <v>146500565.04156908</v>
      </c>
      <c r="U48" s="77"/>
    </row>
    <row r="49" spans="2:23" x14ac:dyDescent="0.35">
      <c r="B49" s="77"/>
      <c r="C49" s="260"/>
      <c r="D49" s="89" t="s">
        <v>2</v>
      </c>
      <c r="E49" s="92">
        <f t="shared" si="16"/>
        <v>2399423869.1563759</v>
      </c>
      <c r="F49" s="92">
        <f t="shared" si="16"/>
        <v>673893745.85806668</v>
      </c>
      <c r="G49" s="92">
        <f t="shared" si="11"/>
        <v>3073317615.0144424</v>
      </c>
      <c r="H49" s="77"/>
      <c r="I49" s="260"/>
      <c r="J49" s="89" t="s">
        <v>2</v>
      </c>
      <c r="K49" s="92">
        <f t="shared" si="12"/>
        <v>2399423869.1563759</v>
      </c>
      <c r="L49" s="92">
        <f t="shared" si="13"/>
        <v>673893745.85806668</v>
      </c>
      <c r="M49" s="92">
        <f t="shared" si="17"/>
        <v>0</v>
      </c>
      <c r="N49" s="92">
        <f t="shared" si="17"/>
        <v>0</v>
      </c>
      <c r="O49" s="92">
        <f>$F49*O23</f>
        <v>0</v>
      </c>
      <c r="P49" s="92">
        <f t="shared" si="17"/>
        <v>0</v>
      </c>
      <c r="Q49" s="92">
        <f t="shared" si="17"/>
        <v>0</v>
      </c>
      <c r="R49" s="92">
        <f t="shared" si="17"/>
        <v>0</v>
      </c>
      <c r="S49" s="92">
        <f t="shared" si="17"/>
        <v>0</v>
      </c>
      <c r="T49" s="92">
        <f t="shared" si="15"/>
        <v>3073317615.0144424</v>
      </c>
      <c r="U49" s="77"/>
    </row>
    <row r="50" spans="2:23" x14ac:dyDescent="0.35">
      <c r="B50" s="77"/>
      <c r="C50" s="265" t="s">
        <v>18</v>
      </c>
      <c r="D50" s="266"/>
      <c r="E50" s="80">
        <f>SUM(E44:E49)</f>
        <v>4854580000</v>
      </c>
      <c r="F50" s="80">
        <f>SUM(F44:F49)</f>
        <v>3442960000</v>
      </c>
      <c r="G50" s="81">
        <f>SUM(G44:G49)</f>
        <v>8297540000</v>
      </c>
      <c r="H50" s="77"/>
      <c r="I50" s="265" t="s">
        <v>18</v>
      </c>
      <c r="J50" s="266"/>
      <c r="K50" s="80">
        <f>SUM(K44:K49)</f>
        <v>4854580000</v>
      </c>
      <c r="L50" s="80">
        <f t="shared" ref="L50:S50" si="18">$F50*L24</f>
        <v>1137013317.1575778</v>
      </c>
      <c r="M50" s="80">
        <f t="shared" si="18"/>
        <v>1581565756.4209156</v>
      </c>
      <c r="N50" s="80">
        <f t="shared" si="18"/>
        <v>110702671.02538195</v>
      </c>
      <c r="O50" s="80">
        <f t="shared" si="18"/>
        <v>174921785.31359062</v>
      </c>
      <c r="P50" s="80">
        <f t="shared" si="18"/>
        <v>15013058.536296554</v>
      </c>
      <c r="Q50" s="80">
        <f t="shared" si="18"/>
        <v>131191338.98519294</v>
      </c>
      <c r="R50" s="80">
        <f t="shared" si="18"/>
        <v>187910945.02524376</v>
      </c>
      <c r="S50" s="80">
        <f t="shared" si="18"/>
        <v>104641127.53580086</v>
      </c>
      <c r="T50" s="81">
        <f>SUM(T44:T49)</f>
        <v>8297540000</v>
      </c>
      <c r="U50" s="77"/>
    </row>
    <row r="51" spans="2:23" x14ac:dyDescent="0.35">
      <c r="B51" s="77"/>
      <c r="C51" s="77"/>
      <c r="D51" s="77"/>
      <c r="E51" s="77"/>
      <c r="F51" s="77"/>
      <c r="G51" s="77"/>
      <c r="H51" s="77"/>
      <c r="I51" s="268"/>
      <c r="J51" s="268"/>
      <c r="K51" s="82"/>
      <c r="L51" s="83"/>
      <c r="M51" s="83"/>
      <c r="N51" s="83"/>
      <c r="O51" s="83"/>
      <c r="P51" s="83"/>
      <c r="Q51" s="83"/>
      <c r="R51" s="83"/>
      <c r="S51" s="83"/>
      <c r="T51" s="84"/>
      <c r="U51" s="77"/>
    </row>
    <row r="52" spans="2:23" x14ac:dyDescent="0.35">
      <c r="B52" s="77"/>
      <c r="C52" s="77" t="s">
        <v>132</v>
      </c>
      <c r="D52" s="77"/>
      <c r="E52" s="77"/>
      <c r="F52" s="77"/>
      <c r="G52" s="77"/>
      <c r="H52" s="77"/>
      <c r="I52" s="77" t="s">
        <v>133</v>
      </c>
      <c r="J52" s="77"/>
      <c r="K52" s="77"/>
      <c r="L52" s="77"/>
      <c r="M52" s="77"/>
      <c r="N52" s="77"/>
      <c r="O52" s="77"/>
      <c r="P52" s="77"/>
      <c r="Q52" s="77"/>
      <c r="R52" s="77"/>
      <c r="S52" s="77"/>
      <c r="T52" s="77"/>
      <c r="U52" s="77"/>
    </row>
    <row r="53" spans="2:23" x14ac:dyDescent="0.35">
      <c r="B53" s="77"/>
      <c r="C53" s="263" t="s">
        <v>3</v>
      </c>
      <c r="D53" s="263" t="s">
        <v>1</v>
      </c>
      <c r="E53" s="265" t="s">
        <v>5</v>
      </c>
      <c r="F53" s="266"/>
      <c r="G53" s="263" t="s">
        <v>18</v>
      </c>
      <c r="H53" s="77"/>
      <c r="I53" s="263" t="s">
        <v>3</v>
      </c>
      <c r="J53" s="263" t="s">
        <v>1</v>
      </c>
      <c r="K53" s="265" t="s">
        <v>5</v>
      </c>
      <c r="L53" s="267"/>
      <c r="M53" s="267"/>
      <c r="N53" s="267"/>
      <c r="O53" s="267"/>
      <c r="P53" s="267"/>
      <c r="Q53" s="267"/>
      <c r="R53" s="267"/>
      <c r="S53" s="266"/>
      <c r="T53" s="263" t="s">
        <v>18</v>
      </c>
      <c r="U53" s="77"/>
    </row>
    <row r="54" spans="2:23" x14ac:dyDescent="0.35">
      <c r="B54" s="77"/>
      <c r="C54" s="264"/>
      <c r="D54" s="264"/>
      <c r="E54" s="78" t="s">
        <v>19</v>
      </c>
      <c r="F54" s="78" t="s">
        <v>92</v>
      </c>
      <c r="G54" s="264"/>
      <c r="H54" s="77"/>
      <c r="I54" s="264"/>
      <c r="J54" s="264"/>
      <c r="K54" s="78" t="s">
        <v>19</v>
      </c>
      <c r="L54" s="78" t="s">
        <v>7</v>
      </c>
      <c r="M54" s="78" t="s">
        <v>8</v>
      </c>
      <c r="N54" s="78" t="s">
        <v>9</v>
      </c>
      <c r="O54" s="78" t="s">
        <v>11</v>
      </c>
      <c r="P54" s="78" t="s">
        <v>6</v>
      </c>
      <c r="Q54" s="78" t="s">
        <v>12</v>
      </c>
      <c r="R54" s="78" t="s">
        <v>13</v>
      </c>
      <c r="S54" s="78" t="s">
        <v>10</v>
      </c>
      <c r="T54" s="264"/>
      <c r="U54" s="77"/>
    </row>
    <row r="55" spans="2:23" x14ac:dyDescent="0.35">
      <c r="B55" s="77"/>
      <c r="C55" s="258" t="s">
        <v>143</v>
      </c>
      <c r="D55" s="88" t="s">
        <v>27</v>
      </c>
      <c r="E55" s="90">
        <f t="shared" ref="E55:F57" si="19">E$34*E18</f>
        <v>131520776.66066825</v>
      </c>
      <c r="F55" s="90">
        <f t="shared" si="19"/>
        <v>54398043.148186833</v>
      </c>
      <c r="G55" s="90">
        <f t="shared" ref="G55:G60" si="20">SUM(E55:F55)</f>
        <v>185918819.80885509</v>
      </c>
      <c r="H55" s="77"/>
      <c r="I55" s="258" t="s">
        <v>143</v>
      </c>
      <c r="J55" s="88" t="s">
        <v>27</v>
      </c>
      <c r="K55" s="90">
        <f t="shared" ref="K55:K60" si="21">E55</f>
        <v>131520776.66066825</v>
      </c>
      <c r="L55" s="105">
        <f>$F55*L18+V55</f>
        <v>54398043.14818684</v>
      </c>
      <c r="M55" s="105">
        <v>0</v>
      </c>
      <c r="N55" s="105">
        <v>0</v>
      </c>
      <c r="O55" s="105">
        <f t="shared" ref="L55:S60" si="22">$F55*O18</f>
        <v>0</v>
      </c>
      <c r="P55" s="105">
        <v>0</v>
      </c>
      <c r="Q55" s="105">
        <f t="shared" si="22"/>
        <v>0</v>
      </c>
      <c r="R55" s="105">
        <f t="shared" si="22"/>
        <v>0</v>
      </c>
      <c r="S55" s="105">
        <v>0</v>
      </c>
      <c r="T55" s="90">
        <f t="shared" ref="T55:T60" si="23">SUM(K55:S55)</f>
        <v>185918819.80885509</v>
      </c>
      <c r="U55" s="77"/>
      <c r="V55" s="116">
        <v>47500371.868465617</v>
      </c>
    </row>
    <row r="56" spans="2:23" x14ac:dyDescent="0.35">
      <c r="B56" s="77"/>
      <c r="C56" s="259"/>
      <c r="D56" s="79" t="s">
        <v>22</v>
      </c>
      <c r="E56" s="40">
        <f t="shared" si="19"/>
        <v>0</v>
      </c>
      <c r="F56" s="91">
        <f t="shared" si="19"/>
        <v>89703470.449251428</v>
      </c>
      <c r="G56" s="91">
        <f t="shared" si="20"/>
        <v>89703470.449251428</v>
      </c>
      <c r="H56" s="77"/>
      <c r="I56" s="259"/>
      <c r="J56" s="79" t="s">
        <v>22</v>
      </c>
      <c r="K56" s="40">
        <f t="shared" si="21"/>
        <v>0</v>
      </c>
      <c r="L56" s="106">
        <f>$F56*L19+W56</f>
        <v>27553963.53621171</v>
      </c>
      <c r="M56" s="106">
        <v>0</v>
      </c>
      <c r="N56" s="106">
        <f t="shared" si="22"/>
        <v>0</v>
      </c>
      <c r="O56" s="106">
        <v>0</v>
      </c>
      <c r="P56" s="106">
        <f t="shared" si="22"/>
        <v>0</v>
      </c>
      <c r="Q56" s="106">
        <f>$F56*Q19+W56</f>
        <v>31074753.456519861</v>
      </c>
      <c r="R56" s="106">
        <f>$F56*R19+W56</f>
        <v>31074753.456519861</v>
      </c>
      <c r="S56" s="106">
        <v>0</v>
      </c>
      <c r="T56" s="91">
        <f t="shared" si="23"/>
        <v>89703470.449251428</v>
      </c>
      <c r="U56" s="77"/>
      <c r="V56" s="116">
        <v>65731529.289074257</v>
      </c>
      <c r="W56">
        <v>21910509.763024751</v>
      </c>
    </row>
    <row r="57" spans="2:23" x14ac:dyDescent="0.35">
      <c r="B57" s="77"/>
      <c r="C57" s="260"/>
      <c r="D57" s="89" t="s">
        <v>2</v>
      </c>
      <c r="E57" s="92">
        <f t="shared" si="19"/>
        <v>906479223.33933175</v>
      </c>
      <c r="F57" s="92">
        <f t="shared" si="19"/>
        <v>35848486.402561754</v>
      </c>
      <c r="G57" s="92">
        <f t="shared" si="20"/>
        <v>942327709.74189353</v>
      </c>
      <c r="H57" s="77"/>
      <c r="I57" s="260"/>
      <c r="J57" s="89" t="s">
        <v>2</v>
      </c>
      <c r="K57" s="92">
        <f t="shared" si="21"/>
        <v>906479223.33933175</v>
      </c>
      <c r="L57" s="107">
        <f>$F57*L20+V57</f>
        <v>35848486.402561754</v>
      </c>
      <c r="M57" s="107">
        <v>0</v>
      </c>
      <c r="N57" s="107">
        <v>0</v>
      </c>
      <c r="O57" s="107">
        <f t="shared" si="22"/>
        <v>0</v>
      </c>
      <c r="P57" s="107">
        <v>0</v>
      </c>
      <c r="Q57" s="107">
        <f t="shared" si="22"/>
        <v>0</v>
      </c>
      <c r="R57" s="107">
        <f t="shared" si="22"/>
        <v>0</v>
      </c>
      <c r="S57" s="107">
        <f t="shared" si="22"/>
        <v>0</v>
      </c>
      <c r="T57" s="92">
        <f t="shared" si="23"/>
        <v>942327709.74189353</v>
      </c>
      <c r="U57" s="77"/>
      <c r="V57" s="116">
        <v>25557186.542884953</v>
      </c>
    </row>
    <row r="58" spans="2:23" x14ac:dyDescent="0.35">
      <c r="B58" s="77"/>
      <c r="C58" s="258" t="s">
        <v>95</v>
      </c>
      <c r="D58" s="88" t="s">
        <v>27</v>
      </c>
      <c r="E58" s="90">
        <f t="shared" ref="E58:F60" si="24">E$35*E21</f>
        <v>30331169.786520593</v>
      </c>
      <c r="F58" s="90">
        <f t="shared" si="24"/>
        <v>31237517.069726143</v>
      </c>
      <c r="G58" s="90">
        <f t="shared" si="20"/>
        <v>61568686.85624674</v>
      </c>
      <c r="H58" s="77"/>
      <c r="I58" s="258" t="s">
        <v>95</v>
      </c>
      <c r="J58" s="88" t="s">
        <v>27</v>
      </c>
      <c r="K58" s="90">
        <f t="shared" si="21"/>
        <v>30331169.786520593</v>
      </c>
      <c r="L58" s="90">
        <f t="shared" si="22"/>
        <v>31237517.069726143</v>
      </c>
      <c r="M58" s="90">
        <f t="shared" si="22"/>
        <v>0</v>
      </c>
      <c r="N58" s="90">
        <f t="shared" si="22"/>
        <v>0</v>
      </c>
      <c r="O58" s="90">
        <f t="shared" si="22"/>
        <v>0</v>
      </c>
      <c r="P58" s="90">
        <f t="shared" si="22"/>
        <v>0</v>
      </c>
      <c r="Q58" s="90">
        <f t="shared" si="22"/>
        <v>0</v>
      </c>
      <c r="R58" s="90">
        <f t="shared" si="22"/>
        <v>0</v>
      </c>
      <c r="S58" s="90">
        <f t="shared" si="22"/>
        <v>0</v>
      </c>
      <c r="T58" s="90">
        <f t="shared" si="23"/>
        <v>61568686.85624674</v>
      </c>
      <c r="U58" s="77"/>
    </row>
    <row r="59" spans="2:23" x14ac:dyDescent="0.35">
      <c r="B59" s="77"/>
      <c r="C59" s="259"/>
      <c r="D59" s="79" t="s">
        <v>22</v>
      </c>
      <c r="E59" s="40">
        <f t="shared" si="24"/>
        <v>0</v>
      </c>
      <c r="F59" s="91">
        <f t="shared" si="24"/>
        <v>71476214.711830422</v>
      </c>
      <c r="G59" s="91">
        <f t="shared" si="20"/>
        <v>71476214.711830422</v>
      </c>
      <c r="H59" s="77"/>
      <c r="I59" s="259"/>
      <c r="J59" s="79" t="s">
        <v>22</v>
      </c>
      <c r="K59" s="40">
        <f t="shared" si="21"/>
        <v>0</v>
      </c>
      <c r="L59" s="91">
        <f t="shared" si="22"/>
        <v>43243144.108549863</v>
      </c>
      <c r="M59" s="91">
        <f t="shared" si="22"/>
        <v>0</v>
      </c>
      <c r="N59" s="91">
        <f t="shared" si="22"/>
        <v>0</v>
      </c>
      <c r="O59" s="91">
        <f t="shared" si="22"/>
        <v>0</v>
      </c>
      <c r="P59" s="91">
        <f t="shared" si="22"/>
        <v>0</v>
      </c>
      <c r="Q59" s="91">
        <f t="shared" si="22"/>
        <v>0</v>
      </c>
      <c r="R59" s="91">
        <f t="shared" si="22"/>
        <v>28233070.603280559</v>
      </c>
      <c r="S59" s="91">
        <f t="shared" si="22"/>
        <v>0</v>
      </c>
      <c r="T59" s="91">
        <f t="shared" si="23"/>
        <v>71476214.711830422</v>
      </c>
      <c r="U59" s="77"/>
    </row>
    <row r="60" spans="2:23" x14ac:dyDescent="0.35">
      <c r="B60" s="77"/>
      <c r="C60" s="260"/>
      <c r="D60" s="89" t="s">
        <v>2</v>
      </c>
      <c r="E60" s="92">
        <f t="shared" si="24"/>
        <v>119668830.21347941</v>
      </c>
      <c r="F60" s="92">
        <f t="shared" si="24"/>
        <v>328786268.21844345</v>
      </c>
      <c r="G60" s="92">
        <f t="shared" si="20"/>
        <v>448455098.43192285</v>
      </c>
      <c r="H60" s="77"/>
      <c r="I60" s="260"/>
      <c r="J60" s="89" t="s">
        <v>2</v>
      </c>
      <c r="K60" s="92">
        <f t="shared" si="21"/>
        <v>119668830.21347941</v>
      </c>
      <c r="L60" s="92">
        <f t="shared" si="22"/>
        <v>328786268.21844345</v>
      </c>
      <c r="M60" s="92">
        <f t="shared" si="22"/>
        <v>0</v>
      </c>
      <c r="N60" s="92">
        <f t="shared" si="22"/>
        <v>0</v>
      </c>
      <c r="O60" s="92">
        <f t="shared" si="22"/>
        <v>0</v>
      </c>
      <c r="P60" s="92">
        <f t="shared" si="22"/>
        <v>0</v>
      </c>
      <c r="Q60" s="92">
        <f t="shared" si="22"/>
        <v>0</v>
      </c>
      <c r="R60" s="92">
        <f t="shared" si="22"/>
        <v>0</v>
      </c>
      <c r="S60" s="92">
        <f t="shared" si="22"/>
        <v>0</v>
      </c>
      <c r="T60" s="92">
        <f t="shared" si="23"/>
        <v>448455098.43192285</v>
      </c>
      <c r="U60" s="77"/>
    </row>
    <row r="61" spans="2:23" x14ac:dyDescent="0.35">
      <c r="B61" s="77"/>
      <c r="C61" s="265" t="s">
        <v>18</v>
      </c>
      <c r="D61" s="266"/>
      <c r="E61" s="80">
        <f>SUM(E55:E60)</f>
        <v>1188000000</v>
      </c>
      <c r="F61" s="80">
        <f>SUM(F55:F60)</f>
        <v>611450000</v>
      </c>
      <c r="G61" s="81">
        <f>SUM(G55:G60)</f>
        <v>1799450000</v>
      </c>
      <c r="H61" s="77"/>
      <c r="I61" s="265" t="s">
        <v>18</v>
      </c>
      <c r="J61" s="266"/>
      <c r="K61" s="80">
        <f>SUM(K55:K60)</f>
        <v>1188000000</v>
      </c>
      <c r="L61" s="80">
        <f>0.25*F61</f>
        <v>152862500</v>
      </c>
      <c r="M61" s="80">
        <v>0</v>
      </c>
      <c r="N61" s="80">
        <v>0</v>
      </c>
      <c r="O61" s="80">
        <v>0</v>
      </c>
      <c r="P61" s="80">
        <v>0</v>
      </c>
      <c r="Q61" s="80">
        <f>0.25*F61</f>
        <v>152862500</v>
      </c>
      <c r="R61" s="80">
        <f>0.5*F61</f>
        <v>305725000</v>
      </c>
      <c r="S61" s="80">
        <v>0</v>
      </c>
      <c r="T61" s="81">
        <f>SUM(T55:T60)</f>
        <v>1799450000</v>
      </c>
      <c r="U61" s="77"/>
    </row>
    <row r="62" spans="2:23" x14ac:dyDescent="0.35">
      <c r="B62" s="77"/>
      <c r="C62" s="77"/>
      <c r="D62" s="85" t="s">
        <v>136</v>
      </c>
      <c r="E62" s="85">
        <f>E61/'Resultados toneladas'!E61</f>
        <v>360</v>
      </c>
      <c r="F62" s="86">
        <f>F61/'Resultados toneladas'!F61</f>
        <v>474.53299496325269</v>
      </c>
      <c r="G62" s="77"/>
      <c r="H62" s="77"/>
      <c r="I62" s="77"/>
      <c r="J62" s="77"/>
      <c r="K62" s="77"/>
      <c r="L62" s="77"/>
      <c r="M62" s="77"/>
      <c r="N62" s="77"/>
      <c r="O62" s="77"/>
      <c r="P62" s="77"/>
      <c r="Q62" s="77"/>
      <c r="R62" s="77"/>
      <c r="S62" s="77"/>
      <c r="T62" s="77"/>
      <c r="U62" s="77"/>
    </row>
    <row r="63" spans="2:23" x14ac:dyDescent="0.35">
      <c r="B63" s="77"/>
      <c r="C63" s="77" t="s">
        <v>134</v>
      </c>
      <c r="D63" s="77"/>
      <c r="E63" s="77"/>
      <c r="F63" s="77"/>
      <c r="G63" s="77"/>
      <c r="H63" s="77"/>
      <c r="I63" s="77" t="s">
        <v>135</v>
      </c>
      <c r="J63" s="77"/>
      <c r="K63" s="77"/>
      <c r="L63" s="77"/>
      <c r="M63" s="77"/>
      <c r="N63" s="77"/>
      <c r="O63" s="77"/>
      <c r="P63" s="77"/>
      <c r="Q63" s="77"/>
      <c r="R63" s="77"/>
      <c r="S63" s="77"/>
      <c r="T63" s="77"/>
      <c r="U63" s="77"/>
    </row>
    <row r="64" spans="2:23" x14ac:dyDescent="0.35">
      <c r="B64" s="77"/>
      <c r="C64" s="263" t="s">
        <v>3</v>
      </c>
      <c r="D64" s="263" t="s">
        <v>1</v>
      </c>
      <c r="E64" s="265" t="s">
        <v>5</v>
      </c>
      <c r="F64" s="266"/>
      <c r="G64" s="263" t="s">
        <v>18</v>
      </c>
      <c r="H64" s="77"/>
      <c r="I64" s="263" t="s">
        <v>3</v>
      </c>
      <c r="J64" s="263" t="s">
        <v>1</v>
      </c>
      <c r="K64" s="265" t="s">
        <v>5</v>
      </c>
      <c r="L64" s="267"/>
      <c r="M64" s="267"/>
      <c r="N64" s="267"/>
      <c r="O64" s="267"/>
      <c r="P64" s="267"/>
      <c r="Q64" s="267"/>
      <c r="R64" s="267"/>
      <c r="S64" s="266"/>
      <c r="T64" s="263" t="s">
        <v>18</v>
      </c>
      <c r="U64" s="77"/>
    </row>
    <row r="65" spans="2:21" x14ac:dyDescent="0.35">
      <c r="B65" s="77"/>
      <c r="C65" s="264"/>
      <c r="D65" s="264"/>
      <c r="E65" s="78" t="s">
        <v>19</v>
      </c>
      <c r="F65" s="78" t="s">
        <v>92</v>
      </c>
      <c r="G65" s="264"/>
      <c r="H65" s="77"/>
      <c r="I65" s="264"/>
      <c r="J65" s="264"/>
      <c r="K65" s="78" t="s">
        <v>19</v>
      </c>
      <c r="L65" s="78" t="s">
        <v>7</v>
      </c>
      <c r="M65" s="78" t="s">
        <v>8</v>
      </c>
      <c r="N65" s="78" t="s">
        <v>9</v>
      </c>
      <c r="O65" s="78" t="s">
        <v>11</v>
      </c>
      <c r="P65" s="78" t="s">
        <v>6</v>
      </c>
      <c r="Q65" s="78" t="s">
        <v>12</v>
      </c>
      <c r="R65" s="78" t="s">
        <v>13</v>
      </c>
      <c r="S65" s="78" t="s">
        <v>10</v>
      </c>
      <c r="T65" s="264"/>
      <c r="U65" s="77"/>
    </row>
    <row r="66" spans="2:21" x14ac:dyDescent="0.35">
      <c r="B66" s="77"/>
      <c r="C66" s="258" t="s">
        <v>143</v>
      </c>
      <c r="D66" s="88" t="s">
        <v>27</v>
      </c>
      <c r="E66" s="90">
        <f t="shared" ref="E66:E71" si="25">E44+E55</f>
        <v>365546667.30831206</v>
      </c>
      <c r="F66" s="90">
        <f t="shared" ref="F66:F71" si="26">F44+F55</f>
        <v>827832715.6481142</v>
      </c>
      <c r="G66" s="90">
        <f t="shared" ref="G66:G71" si="27">SUM(E66:F66)</f>
        <v>1193379382.9564261</v>
      </c>
      <c r="H66" s="77"/>
      <c r="I66" s="258" t="s">
        <v>143</v>
      </c>
      <c r="J66" s="88" t="s">
        <v>27</v>
      </c>
      <c r="K66" s="90">
        <f>K44+K55</f>
        <v>365546667.30831206</v>
      </c>
      <c r="L66" s="90">
        <f t="shared" ref="L66:S66" si="28">L44+L55</f>
        <v>152469551.21163744</v>
      </c>
      <c r="M66" s="90">
        <f t="shared" si="28"/>
        <v>620117942.85281312</v>
      </c>
      <c r="N66" s="90">
        <f t="shared" si="28"/>
        <v>8505958.4683682714</v>
      </c>
      <c r="O66" s="90">
        <f t="shared" si="28"/>
        <v>0</v>
      </c>
      <c r="P66" s="90">
        <f t="shared" si="28"/>
        <v>7455400.9903717339</v>
      </c>
      <c r="Q66" s="90">
        <f t="shared" si="28"/>
        <v>0</v>
      </c>
      <c r="R66" s="90">
        <f t="shared" si="28"/>
        <v>0</v>
      </c>
      <c r="S66" s="90">
        <f t="shared" si="28"/>
        <v>39283862.124923684</v>
      </c>
      <c r="T66" s="90">
        <f t="shared" ref="T66:T71" si="29">SUM(K66:S66)</f>
        <v>1193379382.9564264</v>
      </c>
      <c r="U66" s="77"/>
    </row>
    <row r="67" spans="2:21" x14ac:dyDescent="0.35">
      <c r="B67" s="77"/>
      <c r="C67" s="259"/>
      <c r="D67" s="79" t="s">
        <v>22</v>
      </c>
      <c r="E67" s="40">
        <f t="shared" si="25"/>
        <v>0</v>
      </c>
      <c r="F67" s="91">
        <f t="shared" si="26"/>
        <v>1365112846.8495166</v>
      </c>
      <c r="G67" s="91">
        <f t="shared" si="27"/>
        <v>1365112846.8495166</v>
      </c>
      <c r="H67" s="77"/>
      <c r="I67" s="259"/>
      <c r="J67" s="79" t="s">
        <v>22</v>
      </c>
      <c r="K67" s="40">
        <f t="shared" ref="K67:S71" si="30">K45+K56</f>
        <v>0</v>
      </c>
      <c r="L67" s="91">
        <f t="shared" si="30"/>
        <v>107792931.12081723</v>
      </c>
      <c r="M67" s="91">
        <f t="shared" si="30"/>
        <v>696199965.89581537</v>
      </c>
      <c r="N67" s="91">
        <f t="shared" si="30"/>
        <v>0</v>
      </c>
      <c r="O67" s="91">
        <f t="shared" si="30"/>
        <v>173730362.57890138</v>
      </c>
      <c r="P67" s="91">
        <f t="shared" si="30"/>
        <v>0</v>
      </c>
      <c r="Q67" s="91">
        <f t="shared" si="30"/>
        <v>161372525.3906959</v>
      </c>
      <c r="R67" s="91">
        <f t="shared" si="30"/>
        <v>161372525.3906959</v>
      </c>
      <c r="S67" s="91">
        <f t="shared" si="30"/>
        <v>64644536.472591043</v>
      </c>
      <c r="T67" s="91">
        <f t="shared" si="29"/>
        <v>1365112846.8495169</v>
      </c>
      <c r="U67" s="77"/>
    </row>
    <row r="68" spans="2:21" x14ac:dyDescent="0.35">
      <c r="B68" s="77"/>
      <c r="C68" s="260"/>
      <c r="D68" s="89" t="s">
        <v>2</v>
      </c>
      <c r="E68" s="92">
        <f t="shared" si="25"/>
        <v>2519453332.6916881</v>
      </c>
      <c r="F68" s="92">
        <f t="shared" si="26"/>
        <v>545544437.50236917</v>
      </c>
      <c r="G68" s="92">
        <f t="shared" si="27"/>
        <v>3064997770.1940575</v>
      </c>
      <c r="H68" s="77"/>
      <c r="I68" s="260"/>
      <c r="J68" s="89" t="s">
        <v>2</v>
      </c>
      <c r="K68" s="92">
        <f t="shared" si="30"/>
        <v>2519453332.6916881</v>
      </c>
      <c r="L68" s="92">
        <f t="shared" si="30"/>
        <v>182170811.17598486</v>
      </c>
      <c r="M68" s="92">
        <f t="shared" si="30"/>
        <v>254475527.94534317</v>
      </c>
      <c r="N68" s="92">
        <f t="shared" si="30"/>
        <v>101442697.39066944</v>
      </c>
      <c r="O68" s="92">
        <f t="shared" si="30"/>
        <v>0</v>
      </c>
      <c r="P68" s="92">
        <f t="shared" si="30"/>
        <v>7455400.9903717348</v>
      </c>
      <c r="Q68" s="92">
        <f t="shared" si="30"/>
        <v>0</v>
      </c>
      <c r="R68" s="92">
        <f t="shared" si="30"/>
        <v>0</v>
      </c>
      <c r="S68" s="92">
        <f t="shared" si="30"/>
        <v>0</v>
      </c>
      <c r="T68" s="92">
        <f t="shared" si="29"/>
        <v>3064997770.194057</v>
      </c>
      <c r="U68" s="77"/>
    </row>
    <row r="69" spans="2:21" x14ac:dyDescent="0.35">
      <c r="B69" s="77"/>
      <c r="C69" s="258" t="s">
        <v>95</v>
      </c>
      <c r="D69" s="88" t="s">
        <v>27</v>
      </c>
      <c r="E69" s="90">
        <f t="shared" si="25"/>
        <v>638487300.6301446</v>
      </c>
      <c r="F69" s="90">
        <f t="shared" si="26"/>
        <v>95263206.170090437</v>
      </c>
      <c r="G69" s="90">
        <f t="shared" si="27"/>
        <v>733750506.80023503</v>
      </c>
      <c r="H69" s="77"/>
      <c r="I69" s="258" t="s">
        <v>95</v>
      </c>
      <c r="J69" s="88" t="s">
        <v>27</v>
      </c>
      <c r="K69" s="90">
        <f t="shared" si="30"/>
        <v>638487300.6301446</v>
      </c>
      <c r="L69" s="90">
        <f t="shared" si="30"/>
        <v>95263206.170090437</v>
      </c>
      <c r="M69" s="90">
        <f t="shared" si="30"/>
        <v>0</v>
      </c>
      <c r="N69" s="90">
        <f t="shared" si="30"/>
        <v>0</v>
      </c>
      <c r="O69" s="90">
        <f t="shared" si="30"/>
        <v>0</v>
      </c>
      <c r="P69" s="90">
        <f t="shared" si="30"/>
        <v>0</v>
      </c>
      <c r="Q69" s="90">
        <f t="shared" si="30"/>
        <v>0</v>
      </c>
      <c r="R69" s="90">
        <f t="shared" si="30"/>
        <v>0</v>
      </c>
      <c r="S69" s="90">
        <f t="shared" si="30"/>
        <v>0</v>
      </c>
      <c r="T69" s="90">
        <f t="shared" si="29"/>
        <v>733750506.80023503</v>
      </c>
      <c r="U69" s="77"/>
    </row>
    <row r="70" spans="2:21" x14ac:dyDescent="0.35">
      <c r="B70" s="77"/>
      <c r="C70" s="259"/>
      <c r="D70" s="79" t="s">
        <v>22</v>
      </c>
      <c r="E70" s="40">
        <f t="shared" si="25"/>
        <v>0</v>
      </c>
      <c r="F70" s="91">
        <f t="shared" si="26"/>
        <v>217976779.75339949</v>
      </c>
      <c r="G70" s="91">
        <f t="shared" si="27"/>
        <v>217976779.75339949</v>
      </c>
      <c r="H70" s="77"/>
      <c r="I70" s="259"/>
      <c r="J70" s="79" t="s">
        <v>22</v>
      </c>
      <c r="K70" s="40">
        <f t="shared" si="30"/>
        <v>0</v>
      </c>
      <c r="L70" s="91">
        <f t="shared" si="30"/>
        <v>131876056.07259081</v>
      </c>
      <c r="M70" s="91">
        <f t="shared" si="30"/>
        <v>0</v>
      </c>
      <c r="N70" s="91">
        <f t="shared" si="30"/>
        <v>0</v>
      </c>
      <c r="O70" s="91">
        <f t="shared" si="30"/>
        <v>0</v>
      </c>
      <c r="P70" s="91">
        <f t="shared" si="30"/>
        <v>0</v>
      </c>
      <c r="Q70" s="91">
        <f t="shared" si="30"/>
        <v>0</v>
      </c>
      <c r="R70" s="91">
        <f t="shared" si="30"/>
        <v>86100723.680808693</v>
      </c>
      <c r="S70" s="91">
        <f t="shared" si="30"/>
        <v>0</v>
      </c>
      <c r="T70" s="91">
        <f t="shared" si="29"/>
        <v>217976779.75339949</v>
      </c>
      <c r="U70" s="77"/>
    </row>
    <row r="71" spans="2:21" x14ac:dyDescent="0.35">
      <c r="B71" s="77"/>
      <c r="C71" s="260"/>
      <c r="D71" s="89" t="s">
        <v>2</v>
      </c>
      <c r="E71" s="92">
        <f t="shared" si="25"/>
        <v>2519092699.3698554</v>
      </c>
      <c r="F71" s="92">
        <f t="shared" si="26"/>
        <v>1002680014.0765102</v>
      </c>
      <c r="G71" s="92">
        <f t="shared" si="27"/>
        <v>3521772713.4463654</v>
      </c>
      <c r="H71" s="77"/>
      <c r="I71" s="260"/>
      <c r="J71" s="89" t="s">
        <v>2</v>
      </c>
      <c r="K71" s="92">
        <f t="shared" si="30"/>
        <v>2519092699.3698554</v>
      </c>
      <c r="L71" s="92">
        <f>L49+L60</f>
        <v>1002680014.0765102</v>
      </c>
      <c r="M71" s="92">
        <f t="shared" si="30"/>
        <v>0</v>
      </c>
      <c r="N71" s="92">
        <f t="shared" si="30"/>
        <v>0</v>
      </c>
      <c r="O71" s="92">
        <f t="shared" si="30"/>
        <v>0</v>
      </c>
      <c r="P71" s="92">
        <f t="shared" si="30"/>
        <v>0</v>
      </c>
      <c r="Q71" s="92">
        <f t="shared" si="30"/>
        <v>0</v>
      </c>
      <c r="R71" s="92">
        <f t="shared" si="30"/>
        <v>0</v>
      </c>
      <c r="S71" s="92">
        <f t="shared" si="30"/>
        <v>0</v>
      </c>
      <c r="T71" s="92">
        <f t="shared" si="29"/>
        <v>3521772713.4463654</v>
      </c>
      <c r="U71" s="77"/>
    </row>
    <row r="72" spans="2:21" x14ac:dyDescent="0.35">
      <c r="B72" s="77"/>
      <c r="C72" s="265" t="s">
        <v>18</v>
      </c>
      <c r="D72" s="266"/>
      <c r="E72" s="80">
        <f>SUM(E66:E71)</f>
        <v>6042580000</v>
      </c>
      <c r="F72" s="80">
        <f>SUM(F66:F71)</f>
        <v>4054410000</v>
      </c>
      <c r="G72" s="81">
        <f>SUM(G66:G71)</f>
        <v>10096990000</v>
      </c>
      <c r="H72" s="77"/>
      <c r="I72" s="265" t="s">
        <v>18</v>
      </c>
      <c r="J72" s="266"/>
      <c r="K72" s="80">
        <f>SUM(K66:K71)</f>
        <v>6042580000</v>
      </c>
      <c r="L72" s="80">
        <f t="shared" ref="L72:S72" si="31">SUM(L66:L71)</f>
        <v>1672252569.827631</v>
      </c>
      <c r="M72" s="80">
        <f t="shared" si="31"/>
        <v>1570793436.6939719</v>
      </c>
      <c r="N72" s="80">
        <f t="shared" si="31"/>
        <v>109948655.85903771</v>
      </c>
      <c r="O72" s="80">
        <f t="shared" si="31"/>
        <v>173730362.57890138</v>
      </c>
      <c r="P72" s="80">
        <f t="shared" si="31"/>
        <v>14910801.980743468</v>
      </c>
      <c r="Q72" s="80">
        <f t="shared" si="31"/>
        <v>161372525.3906959</v>
      </c>
      <c r="R72" s="80">
        <f t="shared" si="31"/>
        <v>247473249.07150459</v>
      </c>
      <c r="S72" s="80">
        <f t="shared" si="31"/>
        <v>103928398.59751472</v>
      </c>
      <c r="T72" s="81">
        <f>SUM(T66:T71)</f>
        <v>10096990000</v>
      </c>
      <c r="U72" s="77"/>
    </row>
    <row r="73" spans="2:21" x14ac:dyDescent="0.35">
      <c r="B73" s="77"/>
      <c r="C73" s="77"/>
      <c r="D73" s="77"/>
      <c r="E73" s="77"/>
      <c r="F73" s="77"/>
      <c r="G73" s="77"/>
      <c r="H73" s="77"/>
      <c r="I73" s="77"/>
      <c r="J73" s="77"/>
      <c r="K73" s="77"/>
      <c r="L73" s="77"/>
      <c r="M73" s="77"/>
      <c r="N73" s="77"/>
      <c r="O73" s="77"/>
      <c r="P73" s="77"/>
      <c r="Q73" s="77"/>
      <c r="R73" s="77"/>
      <c r="S73" s="77"/>
      <c r="T73" s="77"/>
      <c r="U73" s="77"/>
    </row>
    <row r="75" spans="2:21" x14ac:dyDescent="0.35">
      <c r="E75" s="87"/>
      <c r="F75" s="87"/>
    </row>
    <row r="76" spans="2:21" x14ac:dyDescent="0.35">
      <c r="E76" s="31"/>
      <c r="F76" s="31"/>
    </row>
  </sheetData>
  <mergeCells count="78">
    <mergeCell ref="J64:J65"/>
    <mergeCell ref="C72:D72"/>
    <mergeCell ref="I72:J72"/>
    <mergeCell ref="K64:S64"/>
    <mergeCell ref="T64:T65"/>
    <mergeCell ref="C66:C68"/>
    <mergeCell ref="I66:I68"/>
    <mergeCell ref="C69:C71"/>
    <mergeCell ref="I69:I71"/>
    <mergeCell ref="C64:C65"/>
    <mergeCell ref="D64:D65"/>
    <mergeCell ref="E64:F64"/>
    <mergeCell ref="G64:G65"/>
    <mergeCell ref="I64:I65"/>
    <mergeCell ref="K53:S53"/>
    <mergeCell ref="T53:T54"/>
    <mergeCell ref="C55:C57"/>
    <mergeCell ref="I55:I57"/>
    <mergeCell ref="C61:D61"/>
    <mergeCell ref="I61:J61"/>
    <mergeCell ref="J42:J43"/>
    <mergeCell ref="K42:S42"/>
    <mergeCell ref="T42:T43"/>
    <mergeCell ref="C58:C60"/>
    <mergeCell ref="I58:I60"/>
    <mergeCell ref="C47:C49"/>
    <mergeCell ref="I47:I49"/>
    <mergeCell ref="C50:D50"/>
    <mergeCell ref="I50:J50"/>
    <mergeCell ref="I51:J51"/>
    <mergeCell ref="C53:C54"/>
    <mergeCell ref="D53:D54"/>
    <mergeCell ref="E53:F53"/>
    <mergeCell ref="G53:G54"/>
    <mergeCell ref="I53:I54"/>
    <mergeCell ref="J53:J54"/>
    <mergeCell ref="C44:C46"/>
    <mergeCell ref="I44:I46"/>
    <mergeCell ref="C32:C33"/>
    <mergeCell ref="C34:C35"/>
    <mergeCell ref="C36:D36"/>
    <mergeCell ref="C42:C43"/>
    <mergeCell ref="D42:D43"/>
    <mergeCell ref="E42:F42"/>
    <mergeCell ref="G42:G43"/>
    <mergeCell ref="I42:I43"/>
    <mergeCell ref="C24:D24"/>
    <mergeCell ref="I24:J24"/>
    <mergeCell ref="C30:C31"/>
    <mergeCell ref="D30:D31"/>
    <mergeCell ref="E30:F30"/>
    <mergeCell ref="G30:G31"/>
    <mergeCell ref="K16:S16"/>
    <mergeCell ref="T16:T17"/>
    <mergeCell ref="C18:C20"/>
    <mergeCell ref="I18:I20"/>
    <mergeCell ref="C21:C23"/>
    <mergeCell ref="I21:I23"/>
    <mergeCell ref="C13:D13"/>
    <mergeCell ref="I13:J13"/>
    <mergeCell ref="C16:C17"/>
    <mergeCell ref="D16:D17"/>
    <mergeCell ref="E16:F16"/>
    <mergeCell ref="G16:G17"/>
    <mergeCell ref="I16:I17"/>
    <mergeCell ref="J16:J17"/>
    <mergeCell ref="K5:S5"/>
    <mergeCell ref="T5:T6"/>
    <mergeCell ref="C7:C9"/>
    <mergeCell ref="I7:I9"/>
    <mergeCell ref="C10:C12"/>
    <mergeCell ref="I10:I12"/>
    <mergeCell ref="C5:C6"/>
    <mergeCell ref="D5:D6"/>
    <mergeCell ref="E5:F5"/>
    <mergeCell ref="G5:G6"/>
    <mergeCell ref="I5:I6"/>
    <mergeCell ref="J5:J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EFAB6-A4CC-4D8F-807D-B8F088DDA4D3}">
  <dimension ref="C3:E13"/>
  <sheetViews>
    <sheetView workbookViewId="0">
      <selection activeCell="E12" sqref="E12"/>
    </sheetView>
  </sheetViews>
  <sheetFormatPr baseColWidth="10" defaultRowHeight="14.5" x14ac:dyDescent="0.35"/>
  <cols>
    <col min="5" max="5" width="23.81640625" customWidth="1"/>
  </cols>
  <sheetData>
    <row r="3" spans="3:5" x14ac:dyDescent="0.35">
      <c r="C3" t="s">
        <v>297</v>
      </c>
      <c r="D3" t="s">
        <v>296</v>
      </c>
      <c r="E3" t="s">
        <v>295</v>
      </c>
    </row>
    <row r="4" spans="3:5" x14ac:dyDescent="0.35">
      <c r="C4" t="s">
        <v>294</v>
      </c>
      <c r="D4" t="s">
        <v>293</v>
      </c>
      <c r="E4" t="s">
        <v>292</v>
      </c>
    </row>
    <row r="5" spans="3:5" x14ac:dyDescent="0.35">
      <c r="D5" t="s">
        <v>291</v>
      </c>
      <c r="E5" t="s">
        <v>290</v>
      </c>
    </row>
    <row r="6" spans="3:5" x14ac:dyDescent="0.35">
      <c r="E6" t="s">
        <v>289</v>
      </c>
    </row>
    <row r="7" spans="3:5" x14ac:dyDescent="0.35">
      <c r="E7" t="s">
        <v>288</v>
      </c>
    </row>
    <row r="8" spans="3:5" x14ac:dyDescent="0.35">
      <c r="E8" t="s">
        <v>287</v>
      </c>
    </row>
    <row r="9" spans="3:5" x14ac:dyDescent="0.35">
      <c r="E9" t="s">
        <v>286</v>
      </c>
    </row>
    <row r="11" spans="3:5" x14ac:dyDescent="0.35">
      <c r="C11" t="s">
        <v>285</v>
      </c>
    </row>
    <row r="12" spans="3:5" x14ac:dyDescent="0.35">
      <c r="C12" t="s">
        <v>284</v>
      </c>
    </row>
    <row r="13" spans="3:5" x14ac:dyDescent="0.35">
      <c r="C13" t="s">
        <v>283</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9FE17-B33A-4254-9DE5-871E9C543DDD}">
  <sheetPr>
    <tabColor rgb="FFC00000"/>
    <pageSetUpPr fitToPage="1"/>
  </sheetPr>
  <dimension ref="A1:U58"/>
  <sheetViews>
    <sheetView topLeftCell="A4" zoomScale="75" zoomScaleNormal="75" workbookViewId="0">
      <selection activeCell="B16" sqref="B16:G16"/>
    </sheetView>
  </sheetViews>
  <sheetFormatPr baseColWidth="10" defaultColWidth="10.81640625" defaultRowHeight="14.5" x14ac:dyDescent="0.35"/>
  <cols>
    <col min="1" max="1" width="4.81640625" style="6" customWidth="1"/>
    <col min="2" max="2" width="27.54296875" style="6" customWidth="1"/>
    <col min="3" max="3" width="23.6328125" style="6" customWidth="1"/>
    <col min="4" max="4" width="20.7265625" style="6" customWidth="1"/>
    <col min="5" max="5" width="26.26953125" style="6" customWidth="1"/>
    <col min="6" max="6" width="18.1796875" style="6" customWidth="1"/>
    <col min="7" max="7" width="22.81640625" style="6" customWidth="1"/>
    <col min="8" max="8" width="29.1796875" style="6" customWidth="1"/>
    <col min="9" max="9" width="21.453125" style="6" customWidth="1"/>
    <col min="10" max="10" width="17.7265625" style="6" customWidth="1"/>
    <col min="11" max="11" width="18.81640625" style="6" customWidth="1"/>
    <col min="12" max="12" width="18.26953125" style="6" customWidth="1"/>
    <col min="13" max="13" width="14.81640625" style="6" customWidth="1"/>
    <col min="14" max="14" width="15" style="6" customWidth="1"/>
    <col min="15" max="15" width="15.453125" style="6" customWidth="1"/>
    <col min="16" max="16" width="13.453125" style="6" customWidth="1"/>
    <col min="17" max="17" width="19" style="6" customWidth="1"/>
    <col min="18" max="19" width="13.453125" style="6" customWidth="1"/>
    <col min="20" max="20" width="12" style="169" customWidth="1"/>
    <col min="21" max="22" width="10.81640625" style="6" customWidth="1"/>
    <col min="23" max="16384" width="10.81640625" style="6"/>
  </cols>
  <sheetData>
    <row r="1" spans="1:21" x14ac:dyDescent="0.35">
      <c r="A1" s="169"/>
      <c r="B1" s="169"/>
      <c r="C1" s="169"/>
      <c r="D1" s="169"/>
      <c r="E1" s="169"/>
      <c r="F1" s="169"/>
      <c r="G1" s="169"/>
      <c r="H1" s="169"/>
      <c r="I1" s="169"/>
      <c r="J1" s="169"/>
      <c r="K1" s="169"/>
      <c r="L1" s="169"/>
      <c r="M1" s="169"/>
      <c r="N1" s="169"/>
      <c r="O1" s="169"/>
      <c r="P1" s="169"/>
      <c r="Q1" s="169"/>
      <c r="R1" s="169"/>
      <c r="S1" s="169"/>
    </row>
    <row r="2" spans="1:21" x14ac:dyDescent="0.35">
      <c r="A2" s="169"/>
      <c r="B2" s="169"/>
      <c r="C2" s="169"/>
      <c r="D2" s="169"/>
      <c r="E2" s="169"/>
      <c r="F2" s="169"/>
      <c r="G2" s="169"/>
      <c r="H2" s="169"/>
      <c r="I2" s="169"/>
      <c r="J2" s="169"/>
      <c r="K2" s="169"/>
      <c r="L2" s="169"/>
      <c r="M2" s="169"/>
      <c r="N2" s="169"/>
      <c r="O2" s="169"/>
      <c r="P2" s="169"/>
      <c r="Q2" s="169"/>
      <c r="R2" s="169"/>
      <c r="S2" s="169"/>
    </row>
    <row r="3" spans="1:21" x14ac:dyDescent="0.35">
      <c r="A3" s="169"/>
      <c r="B3" s="169"/>
      <c r="C3" s="169"/>
      <c r="D3" s="169"/>
      <c r="E3" s="169"/>
      <c r="F3" s="169"/>
      <c r="G3" s="169"/>
      <c r="H3" s="169"/>
      <c r="I3" s="169"/>
      <c r="J3" s="169"/>
      <c r="K3" s="169"/>
      <c r="L3" s="169"/>
      <c r="M3" s="169"/>
      <c r="N3" s="169"/>
      <c r="O3" s="169"/>
      <c r="P3" s="169"/>
      <c r="Q3" s="169"/>
      <c r="R3" s="169"/>
      <c r="S3" s="169"/>
    </row>
    <row r="4" spans="1:21" x14ac:dyDescent="0.35">
      <c r="A4" s="169"/>
      <c r="B4" s="169"/>
      <c r="C4" s="169"/>
      <c r="D4" s="169"/>
      <c r="E4" s="169"/>
      <c r="F4" s="169"/>
      <c r="G4" s="169"/>
      <c r="H4" s="169"/>
      <c r="I4" s="169"/>
      <c r="J4" s="169"/>
      <c r="K4" s="169"/>
      <c r="L4" s="169"/>
      <c r="M4" s="169"/>
      <c r="N4" s="169"/>
      <c r="O4" s="169"/>
      <c r="P4" s="169"/>
      <c r="Q4" s="169"/>
      <c r="R4" s="169"/>
      <c r="S4" s="169"/>
    </row>
    <row r="5" spans="1:21" x14ac:dyDescent="0.35">
      <c r="A5" s="169"/>
      <c r="B5" s="169"/>
      <c r="C5" s="169"/>
      <c r="D5" s="169"/>
      <c r="E5" s="169"/>
      <c r="F5" s="169"/>
      <c r="G5" s="169"/>
      <c r="H5" s="169"/>
      <c r="I5" s="169"/>
      <c r="J5" s="169"/>
      <c r="K5" s="169"/>
      <c r="L5" s="169"/>
      <c r="M5" s="169"/>
      <c r="N5" s="169"/>
      <c r="O5" s="169"/>
      <c r="P5" s="169"/>
      <c r="Q5" s="169"/>
      <c r="R5" s="169"/>
      <c r="S5" s="169"/>
    </row>
    <row r="6" spans="1:21" x14ac:dyDescent="0.35">
      <c r="A6" s="169"/>
      <c r="B6" s="169"/>
      <c r="C6" s="169"/>
      <c r="D6" s="169"/>
      <c r="E6" s="169"/>
      <c r="F6" s="169"/>
      <c r="G6" s="169"/>
      <c r="H6" s="169"/>
      <c r="I6" s="169"/>
      <c r="J6" s="169"/>
      <c r="K6" s="169"/>
      <c r="L6" s="169"/>
      <c r="M6" s="169"/>
      <c r="N6" s="169"/>
      <c r="O6" s="169"/>
      <c r="P6" s="169"/>
      <c r="Q6" s="169"/>
      <c r="R6" s="169"/>
      <c r="S6" s="169"/>
    </row>
    <row r="7" spans="1:21" x14ac:dyDescent="0.35">
      <c r="A7" s="169"/>
      <c r="B7" s="169"/>
      <c r="C7" s="169"/>
      <c r="D7" s="169"/>
      <c r="E7" s="169"/>
      <c r="F7" s="169"/>
      <c r="G7" s="169"/>
      <c r="H7" s="169"/>
      <c r="I7" s="169"/>
      <c r="J7" s="169"/>
      <c r="K7" s="169"/>
      <c r="L7" s="169"/>
      <c r="M7" s="169"/>
      <c r="N7" s="169"/>
      <c r="O7" s="169"/>
      <c r="P7" s="169"/>
      <c r="Q7" s="169"/>
      <c r="R7" s="169"/>
      <c r="S7" s="169"/>
    </row>
    <row r="8" spans="1:21" x14ac:dyDescent="0.35">
      <c r="A8" s="169"/>
      <c r="B8" s="169"/>
      <c r="C8" s="169"/>
      <c r="D8" s="169"/>
      <c r="E8" s="169"/>
      <c r="F8" s="169"/>
      <c r="G8" s="169"/>
      <c r="H8" s="169"/>
      <c r="I8" s="169"/>
      <c r="J8" s="169"/>
      <c r="K8" s="169"/>
      <c r="L8" s="169"/>
      <c r="M8" s="169"/>
      <c r="N8" s="169"/>
      <c r="O8" s="169"/>
      <c r="P8" s="169"/>
      <c r="Q8" s="169"/>
      <c r="R8" s="169"/>
      <c r="S8" s="169"/>
    </row>
    <row r="9" spans="1:21" x14ac:dyDescent="0.35">
      <c r="A9" s="169"/>
      <c r="B9" s="169"/>
      <c r="C9" s="169"/>
      <c r="D9" s="169"/>
      <c r="E9" s="169"/>
      <c r="F9" s="169"/>
      <c r="G9" s="169"/>
      <c r="H9" s="169"/>
      <c r="I9" s="169"/>
      <c r="J9" s="169"/>
      <c r="K9" s="169"/>
      <c r="L9" s="169"/>
      <c r="M9" s="169"/>
      <c r="N9" s="169"/>
      <c r="O9" s="169"/>
      <c r="P9" s="169"/>
      <c r="Q9" s="169"/>
      <c r="R9" s="169"/>
      <c r="S9" s="169"/>
    </row>
    <row r="10" spans="1:21" x14ac:dyDescent="0.35">
      <c r="A10" s="169"/>
      <c r="B10" s="169"/>
      <c r="C10" s="169"/>
      <c r="D10" s="169"/>
      <c r="E10" s="169"/>
      <c r="F10" s="169"/>
      <c r="I10" s="169"/>
      <c r="J10" s="169"/>
      <c r="K10" s="169"/>
      <c r="L10" s="169"/>
      <c r="M10" s="169"/>
      <c r="N10" s="169"/>
      <c r="O10" s="169"/>
      <c r="P10" s="169"/>
      <c r="Q10" s="169"/>
      <c r="R10" s="169"/>
      <c r="S10" s="169"/>
    </row>
    <row r="11" spans="1:21" x14ac:dyDescent="0.35">
      <c r="A11" s="169"/>
      <c r="B11" s="169"/>
      <c r="C11" s="169"/>
      <c r="D11" s="169"/>
      <c r="E11" s="169"/>
      <c r="F11" s="169"/>
      <c r="G11" s="169"/>
      <c r="H11" s="169"/>
      <c r="I11" s="169"/>
      <c r="J11" s="169"/>
      <c r="K11" s="169"/>
      <c r="L11" s="169"/>
      <c r="M11" s="169"/>
      <c r="N11" s="169"/>
      <c r="O11" s="169"/>
      <c r="P11" s="169"/>
      <c r="Q11" s="169"/>
      <c r="R11" s="169"/>
      <c r="S11" s="169"/>
    </row>
    <row r="12" spans="1:21" s="3" customFormat="1" x14ac:dyDescent="0.35">
      <c r="B12" s="270" t="s">
        <v>255</v>
      </c>
      <c r="C12" s="270"/>
      <c r="D12" s="270"/>
      <c r="E12" s="270"/>
      <c r="F12" s="270"/>
      <c r="G12" s="270"/>
      <c r="H12" s="270"/>
      <c r="I12" s="270"/>
      <c r="J12" s="270"/>
      <c r="K12" s="203"/>
      <c r="L12" s="203"/>
      <c r="M12" s="203"/>
      <c r="N12" s="203"/>
      <c r="O12" s="203"/>
      <c r="P12" s="203"/>
      <c r="Q12" s="203"/>
      <c r="R12" s="203"/>
      <c r="S12" s="203"/>
    </row>
    <row r="13" spans="1:21" s="176" customFormat="1" ht="15" customHeight="1" x14ac:dyDescent="0.35">
      <c r="A13" s="3"/>
      <c r="B13" s="208"/>
      <c r="C13" s="208"/>
      <c r="D13" s="208"/>
      <c r="E13" s="208"/>
      <c r="F13" s="208"/>
      <c r="G13" s="208"/>
      <c r="H13" s="208"/>
      <c r="I13" s="3"/>
      <c r="J13" s="3"/>
      <c r="K13" s="3"/>
      <c r="L13" s="3"/>
      <c r="M13" s="3"/>
      <c r="N13" s="208"/>
      <c r="O13" s="208"/>
      <c r="P13" s="208"/>
      <c r="Q13" s="208"/>
      <c r="R13" s="208"/>
      <c r="S13" s="208"/>
      <c r="T13" s="3"/>
    </row>
    <row r="14" spans="1:21" s="119" customFormat="1" ht="36" customHeight="1" x14ac:dyDescent="0.35">
      <c r="A14" s="118"/>
      <c r="B14" s="205" t="s">
        <v>306</v>
      </c>
      <c r="C14" s="205" t="s">
        <v>307</v>
      </c>
      <c r="D14" s="205" t="s">
        <v>258</v>
      </c>
      <c r="E14" s="205" t="s">
        <v>259</v>
      </c>
      <c r="F14" s="194" t="s">
        <v>273</v>
      </c>
      <c r="G14" s="205" t="s">
        <v>253</v>
      </c>
      <c r="H14" s="200"/>
      <c r="I14" s="118"/>
      <c r="J14" s="3"/>
      <c r="K14" s="118"/>
      <c r="L14" s="118"/>
      <c r="M14" s="118"/>
      <c r="N14" s="3"/>
      <c r="O14" s="3"/>
      <c r="P14" s="3"/>
      <c r="Q14" s="3"/>
      <c r="R14" s="3"/>
      <c r="S14" s="208"/>
      <c r="T14" s="208"/>
      <c r="U14" s="208"/>
    </row>
    <row r="15" spans="1:21" s="176" customFormat="1" ht="17.5" customHeight="1" x14ac:dyDescent="0.35">
      <c r="A15" s="3"/>
      <c r="B15" s="209"/>
      <c r="C15" s="209"/>
      <c r="D15" s="209"/>
      <c r="E15" s="202"/>
      <c r="F15" s="172"/>
      <c r="G15" s="172"/>
      <c r="H15" s="198"/>
      <c r="I15" s="3"/>
      <c r="J15" s="3"/>
      <c r="K15" s="3"/>
      <c r="L15" s="3"/>
      <c r="M15" s="3"/>
      <c r="N15" s="3"/>
      <c r="O15" s="3"/>
      <c r="P15" s="3"/>
      <c r="Q15" s="3"/>
      <c r="R15" s="3"/>
    </row>
    <row r="16" spans="1:21" s="176" customFormat="1" ht="23.5" customHeight="1" x14ac:dyDescent="0.35">
      <c r="A16" s="3"/>
      <c r="B16" s="271" t="s">
        <v>319</v>
      </c>
      <c r="C16" s="271"/>
      <c r="D16" s="271"/>
      <c r="E16" s="271"/>
      <c r="F16" s="271"/>
      <c r="G16" s="271"/>
      <c r="H16" s="3"/>
      <c r="I16" s="3"/>
      <c r="J16" s="3"/>
      <c r="K16" s="3"/>
      <c r="L16" s="3"/>
      <c r="M16" s="3"/>
      <c r="N16" s="3"/>
      <c r="O16" s="3"/>
      <c r="P16" s="3"/>
      <c r="Q16" s="3"/>
      <c r="R16" s="3"/>
      <c r="S16" s="3"/>
      <c r="T16" s="3"/>
    </row>
    <row r="17" spans="1:20" s="176" customFormat="1" ht="24" customHeight="1" x14ac:dyDescent="0.35">
      <c r="A17" s="3"/>
      <c r="B17" s="270" t="s">
        <v>279</v>
      </c>
      <c r="C17" s="270"/>
      <c r="D17" s="270"/>
      <c r="E17" s="270"/>
      <c r="F17" s="270"/>
      <c r="G17" s="3"/>
      <c r="H17" s="3"/>
      <c r="I17" s="3"/>
      <c r="J17" s="3"/>
      <c r="K17" s="3"/>
      <c r="L17" s="3"/>
      <c r="M17" s="3"/>
      <c r="N17" s="3"/>
      <c r="O17" s="3"/>
      <c r="P17" s="3"/>
      <c r="Q17" s="3"/>
      <c r="R17" s="3"/>
      <c r="S17" s="3"/>
      <c r="T17" s="11"/>
    </row>
    <row r="18" spans="1:20" s="176" customFormat="1" ht="24" customHeight="1" x14ac:dyDescent="0.35">
      <c r="A18" s="3"/>
      <c r="B18" s="203"/>
      <c r="C18" s="203"/>
      <c r="D18" s="203"/>
      <c r="E18" s="203"/>
      <c r="F18" s="203"/>
      <c r="G18" s="3"/>
      <c r="H18" s="3"/>
      <c r="I18" s="3"/>
      <c r="J18" s="3"/>
      <c r="K18" s="3"/>
      <c r="L18" s="3"/>
      <c r="M18" s="3"/>
      <c r="N18" s="3"/>
      <c r="O18" s="3"/>
      <c r="P18" s="3"/>
      <c r="Q18" s="3"/>
      <c r="R18" s="3"/>
      <c r="S18" s="3"/>
      <c r="T18" s="11"/>
    </row>
    <row r="19" spans="1:20" s="176" customFormat="1" ht="26.5" customHeight="1" x14ac:dyDescent="0.35">
      <c r="A19" s="3"/>
      <c r="C19" s="178" t="s">
        <v>309</v>
      </c>
      <c r="D19" s="171" t="s">
        <v>276</v>
      </c>
      <c r="E19" s="171" t="s">
        <v>277</v>
      </c>
      <c r="F19" s="171" t="s">
        <v>278</v>
      </c>
      <c r="G19" s="179" t="s">
        <v>310</v>
      </c>
      <c r="H19" s="200"/>
      <c r="I19" s="3"/>
      <c r="J19" s="3"/>
      <c r="K19" s="3"/>
      <c r="L19" s="3"/>
      <c r="M19" s="3"/>
      <c r="N19" s="3"/>
      <c r="O19" s="3"/>
      <c r="P19" s="3"/>
      <c r="Q19" s="3"/>
      <c r="R19" s="3"/>
      <c r="S19" s="3"/>
      <c r="T19" s="3"/>
    </row>
    <row r="20" spans="1:20" s="176" customFormat="1" ht="15" customHeight="1" x14ac:dyDescent="0.35">
      <c r="A20" s="3"/>
      <c r="B20" s="178" t="s">
        <v>318</v>
      </c>
      <c r="C20" s="173"/>
      <c r="D20" s="173"/>
      <c r="E20" s="173"/>
      <c r="F20" s="173"/>
      <c r="G20" s="173"/>
      <c r="H20" s="183"/>
      <c r="I20" s="3"/>
      <c r="J20" s="3"/>
      <c r="K20" s="3"/>
      <c r="L20" s="3"/>
      <c r="M20" s="3"/>
      <c r="N20" s="3"/>
      <c r="O20" s="3"/>
      <c r="P20" s="3"/>
      <c r="Q20" s="3"/>
      <c r="R20" s="3"/>
      <c r="S20" s="3"/>
      <c r="T20" s="3"/>
    </row>
    <row r="21" spans="1:20" ht="23" customHeight="1" x14ac:dyDescent="0.35">
      <c r="A21" s="218"/>
      <c r="B21" s="272" t="s">
        <v>308</v>
      </c>
      <c r="C21" s="273"/>
      <c r="D21" s="273"/>
      <c r="E21" s="273"/>
      <c r="F21" s="274"/>
      <c r="G21" s="214"/>
      <c r="H21" s="169"/>
      <c r="I21" s="169"/>
      <c r="J21" s="169"/>
      <c r="K21" s="169"/>
      <c r="L21" s="169"/>
      <c r="M21" s="169"/>
      <c r="N21" s="169"/>
      <c r="O21" s="169"/>
      <c r="P21" s="169"/>
      <c r="Q21" s="169"/>
      <c r="R21" s="169"/>
      <c r="S21" s="169"/>
    </row>
    <row r="22" spans="1:20" s="176" customFormat="1" ht="15" customHeight="1" x14ac:dyDescent="0.35">
      <c r="A22" s="3"/>
      <c r="B22" s="188"/>
      <c r="C22" s="183"/>
      <c r="D22" s="183"/>
      <c r="E22" s="183"/>
      <c r="F22" s="183"/>
      <c r="G22" s="3"/>
      <c r="H22" s="3"/>
      <c r="I22" s="3"/>
      <c r="J22" s="3"/>
      <c r="K22" s="3"/>
      <c r="L22" s="3"/>
      <c r="M22" s="3"/>
      <c r="N22" s="3"/>
      <c r="O22" s="3"/>
      <c r="P22" s="3"/>
      <c r="Q22" s="3"/>
      <c r="R22" s="3"/>
      <c r="S22" s="3"/>
      <c r="T22" s="3"/>
    </row>
    <row r="23" spans="1:20" s="176" customFormat="1" ht="15" customHeight="1" x14ac:dyDescent="0.35">
      <c r="A23" s="3"/>
      <c r="B23" s="270" t="s">
        <v>280</v>
      </c>
      <c r="C23" s="270"/>
      <c r="D23" s="270"/>
      <c r="E23" s="270"/>
      <c r="F23" s="270"/>
      <c r="G23" s="3"/>
      <c r="H23" s="3"/>
      <c r="I23" s="3"/>
      <c r="J23" s="3"/>
      <c r="K23" s="3"/>
      <c r="L23" s="3"/>
      <c r="M23" s="3"/>
      <c r="N23" s="3"/>
      <c r="O23" s="3"/>
      <c r="P23" s="3"/>
      <c r="Q23" s="3"/>
      <c r="R23" s="3"/>
      <c r="S23" s="3"/>
      <c r="T23" s="3"/>
    </row>
    <row r="24" spans="1:20" s="176" customFormat="1" ht="15" customHeight="1" x14ac:dyDescent="0.35">
      <c r="A24" s="3"/>
      <c r="B24" s="204"/>
      <c r="C24" s="204"/>
      <c r="D24" s="204"/>
      <c r="E24" s="204"/>
      <c r="F24" s="204"/>
      <c r="G24" s="3"/>
      <c r="H24" s="3"/>
      <c r="I24" s="3"/>
      <c r="J24" s="3"/>
      <c r="K24" s="3"/>
      <c r="L24" s="3"/>
      <c r="M24" s="3"/>
      <c r="N24" s="3"/>
      <c r="O24" s="3"/>
      <c r="P24" s="3"/>
      <c r="Q24" s="3"/>
      <c r="R24" s="3"/>
      <c r="S24" s="3"/>
      <c r="T24" s="3"/>
    </row>
    <row r="25" spans="1:20" s="176" customFormat="1" ht="15" customHeight="1" x14ac:dyDescent="0.35">
      <c r="A25" s="3"/>
      <c r="B25" s="204"/>
      <c r="C25" s="275" t="s">
        <v>263</v>
      </c>
      <c r="D25" s="275"/>
      <c r="E25" s="275"/>
      <c r="F25" s="204"/>
      <c r="G25" s="3"/>
      <c r="H25" s="3"/>
      <c r="I25" s="3"/>
      <c r="J25" s="3"/>
      <c r="K25" s="3"/>
      <c r="L25" s="3"/>
      <c r="M25" s="3"/>
      <c r="N25" s="3"/>
      <c r="O25" s="3"/>
      <c r="P25" s="3"/>
      <c r="Q25" s="3"/>
      <c r="R25" s="3"/>
      <c r="S25" s="3"/>
      <c r="T25" s="3"/>
    </row>
    <row r="26" spans="1:20" s="176" customFormat="1" ht="15" customHeight="1" x14ac:dyDescent="0.35">
      <c r="A26" s="3"/>
      <c r="B26" s="204"/>
      <c r="C26" s="121" t="s">
        <v>251</v>
      </c>
      <c r="D26" s="121" t="s">
        <v>252</v>
      </c>
      <c r="E26" s="121" t="s">
        <v>256</v>
      </c>
      <c r="F26" s="204"/>
      <c r="G26" s="3"/>
      <c r="H26" s="3"/>
      <c r="I26" s="3"/>
      <c r="J26" s="3"/>
      <c r="K26" s="3"/>
      <c r="L26" s="3"/>
      <c r="M26" s="3"/>
      <c r="N26" s="3"/>
      <c r="O26" s="3"/>
      <c r="P26" s="3"/>
      <c r="Q26" s="3"/>
      <c r="R26" s="3"/>
      <c r="S26" s="3"/>
      <c r="T26" s="3"/>
    </row>
    <row r="27" spans="1:20" s="176" customFormat="1" ht="15" customHeight="1" x14ac:dyDescent="0.35">
      <c r="A27" s="3"/>
      <c r="B27" s="197" t="s">
        <v>250</v>
      </c>
      <c r="C27" s="172"/>
      <c r="D27" s="172"/>
      <c r="E27" s="172"/>
      <c r="F27" s="204"/>
      <c r="G27" s="3"/>
      <c r="H27" s="3"/>
      <c r="I27" s="3"/>
      <c r="J27" s="3"/>
      <c r="K27" s="3"/>
      <c r="L27" s="3"/>
      <c r="M27" s="3"/>
      <c r="N27" s="3"/>
      <c r="O27" s="3"/>
      <c r="P27" s="3"/>
      <c r="Q27" s="3"/>
      <c r="R27" s="3"/>
      <c r="S27" s="3"/>
      <c r="T27" s="3"/>
    </row>
    <row r="28" spans="1:20" s="176" customFormat="1" ht="15" customHeight="1" x14ac:dyDescent="0.35">
      <c r="A28" s="3"/>
      <c r="B28" s="197" t="s">
        <v>254</v>
      </c>
      <c r="C28" s="172"/>
      <c r="D28" s="172"/>
      <c r="E28" s="172"/>
      <c r="F28" s="204"/>
      <c r="G28" s="3"/>
      <c r="H28" s="3"/>
      <c r="I28" s="3"/>
      <c r="J28" s="3"/>
      <c r="K28" s="3"/>
      <c r="L28" s="3"/>
      <c r="M28" s="3"/>
      <c r="N28" s="3"/>
      <c r="O28" s="3"/>
      <c r="P28" s="3"/>
      <c r="Q28" s="3"/>
      <c r="R28" s="3"/>
      <c r="S28" s="3"/>
      <c r="T28" s="3"/>
    </row>
    <row r="29" spans="1:20" s="176" customFormat="1" ht="15" customHeight="1" x14ac:dyDescent="0.35">
      <c r="A29" s="3"/>
      <c r="B29" s="197" t="s">
        <v>281</v>
      </c>
      <c r="C29" s="172"/>
      <c r="D29" s="172"/>
      <c r="E29" s="172"/>
      <c r="F29" s="204"/>
      <c r="G29" s="3"/>
      <c r="H29" s="3"/>
      <c r="I29" s="3"/>
      <c r="J29" s="3"/>
      <c r="K29" s="3"/>
      <c r="L29" s="3"/>
      <c r="M29" s="3"/>
      <c r="N29" s="3"/>
      <c r="O29" s="3"/>
      <c r="P29" s="3"/>
      <c r="Q29" s="3"/>
      <c r="R29" s="3"/>
      <c r="S29" s="3"/>
      <c r="T29" s="3"/>
    </row>
    <row r="30" spans="1:20" s="176" customFormat="1" ht="15" customHeight="1" x14ac:dyDescent="0.35">
      <c r="A30" s="3"/>
      <c r="B30" s="188"/>
      <c r="C30" s="3"/>
      <c r="D30" s="3"/>
      <c r="E30" s="3"/>
      <c r="F30" s="204"/>
      <c r="G30" s="3"/>
      <c r="H30" s="3"/>
      <c r="I30" s="3"/>
      <c r="J30" s="3"/>
      <c r="K30" s="3"/>
      <c r="L30" s="3"/>
      <c r="M30" s="3"/>
      <c r="N30" s="3"/>
      <c r="O30" s="3"/>
      <c r="P30" s="3"/>
      <c r="Q30" s="3"/>
      <c r="R30" s="3"/>
      <c r="S30" s="3"/>
      <c r="T30" s="3"/>
    </row>
    <row r="31" spans="1:20" s="176" customFormat="1" ht="15" customHeight="1" x14ac:dyDescent="0.35">
      <c r="A31" s="3"/>
      <c r="B31" s="199" t="s">
        <v>301</v>
      </c>
      <c r="C31" s="3"/>
      <c r="D31" s="3"/>
      <c r="E31" s="3"/>
      <c r="F31" s="204"/>
      <c r="G31" s="3"/>
      <c r="H31" s="3"/>
      <c r="I31" s="3"/>
      <c r="J31" s="3"/>
      <c r="K31" s="3"/>
      <c r="L31" s="3"/>
      <c r="M31" s="3"/>
      <c r="N31" s="3"/>
      <c r="O31" s="3"/>
      <c r="P31" s="3"/>
      <c r="Q31" s="3"/>
      <c r="R31" s="3"/>
      <c r="S31" s="3"/>
      <c r="T31" s="3"/>
    </row>
    <row r="32" spans="1:20" s="176" customFormat="1" ht="21" customHeight="1" x14ac:dyDescent="0.35">
      <c r="A32" s="3"/>
      <c r="B32" s="188"/>
      <c r="C32" s="183"/>
      <c r="D32" s="183"/>
      <c r="E32" s="183"/>
      <c r="F32" s="183"/>
      <c r="G32" s="3"/>
      <c r="H32" s="3"/>
      <c r="I32" s="185"/>
      <c r="J32" s="181"/>
      <c r="K32" s="3"/>
      <c r="L32" s="3"/>
      <c r="M32" s="3"/>
      <c r="N32" s="3"/>
      <c r="O32" s="3"/>
      <c r="P32" s="3"/>
      <c r="Q32" s="3"/>
      <c r="R32" s="3"/>
      <c r="S32" s="3"/>
      <c r="T32" s="3"/>
    </row>
    <row r="33" spans="1:20" s="176" customFormat="1" ht="16" customHeight="1" x14ac:dyDescent="0.35">
      <c r="A33" s="3"/>
      <c r="B33" s="207" t="s">
        <v>250</v>
      </c>
      <c r="C33" s="183"/>
      <c r="D33" s="183"/>
      <c r="E33" s="183"/>
      <c r="F33" s="3"/>
      <c r="G33" s="3"/>
      <c r="H33" s="3"/>
      <c r="I33" s="3"/>
      <c r="J33" s="3"/>
      <c r="K33" s="3"/>
      <c r="L33" s="3"/>
      <c r="M33" s="3"/>
      <c r="N33" s="3"/>
      <c r="O33" s="3"/>
      <c r="P33" s="3"/>
      <c r="Q33" s="3"/>
      <c r="R33" s="3"/>
      <c r="S33" s="3"/>
      <c r="T33" s="3"/>
    </row>
    <row r="34" spans="1:20" s="176" customFormat="1" ht="19" customHeight="1" x14ac:dyDescent="0.35">
      <c r="A34" s="3"/>
      <c r="B34" s="188"/>
      <c r="C34" s="184"/>
      <c r="D34" s="184"/>
      <c r="E34" s="184"/>
      <c r="F34" s="3"/>
      <c r="G34" s="3"/>
      <c r="H34" s="3"/>
      <c r="I34" s="3"/>
      <c r="J34" s="3"/>
      <c r="K34" s="3"/>
      <c r="L34" s="3"/>
      <c r="M34" s="3"/>
      <c r="N34" s="3"/>
      <c r="O34" s="3"/>
      <c r="P34" s="3"/>
      <c r="Q34" s="3"/>
      <c r="R34" s="3"/>
      <c r="S34" s="3"/>
      <c r="T34" s="3"/>
    </row>
    <row r="35" spans="1:20" s="176" customFormat="1" ht="20" customHeight="1" x14ac:dyDescent="0.35">
      <c r="A35" s="3"/>
      <c r="B35" s="275" t="s">
        <v>271</v>
      </c>
      <c r="C35" s="275"/>
      <c r="D35" s="275"/>
      <c r="E35" s="275"/>
      <c r="F35" s="275"/>
      <c r="G35" s="275"/>
      <c r="H35" s="275"/>
      <c r="I35" s="275"/>
      <c r="J35" s="3"/>
      <c r="K35" s="3"/>
      <c r="L35" s="3"/>
      <c r="M35" s="3"/>
      <c r="N35" s="3"/>
      <c r="O35" s="3"/>
      <c r="P35" s="3"/>
      <c r="Q35" s="3"/>
      <c r="R35" s="3"/>
      <c r="S35" s="3"/>
      <c r="T35" s="3"/>
    </row>
    <row r="36" spans="1:20" s="176" customFormat="1" ht="29.5" customHeight="1" x14ac:dyDescent="0.35">
      <c r="A36" s="3"/>
      <c r="B36" s="178" t="s">
        <v>311</v>
      </c>
      <c r="C36" s="178" t="s">
        <v>300</v>
      </c>
      <c r="D36" s="171" t="s">
        <v>312</v>
      </c>
      <c r="E36" s="171" t="s">
        <v>265</v>
      </c>
      <c r="F36" s="179" t="s">
        <v>264</v>
      </c>
      <c r="G36" s="179" t="s">
        <v>266</v>
      </c>
      <c r="H36" s="179" t="s">
        <v>314</v>
      </c>
      <c r="I36" s="196" t="s">
        <v>282</v>
      </c>
      <c r="J36" s="3"/>
      <c r="K36" s="3"/>
      <c r="L36" s="3"/>
      <c r="M36" s="3"/>
      <c r="N36" s="3"/>
      <c r="O36" s="3"/>
      <c r="P36" s="3"/>
      <c r="Q36" s="3"/>
      <c r="R36" s="3"/>
      <c r="S36" s="3"/>
      <c r="T36" s="3"/>
    </row>
    <row r="37" spans="1:20" s="176" customFormat="1" ht="17" customHeight="1" x14ac:dyDescent="0.35">
      <c r="A37" s="3"/>
      <c r="B37" s="201"/>
      <c r="C37" s="173"/>
      <c r="D37" s="173"/>
      <c r="E37" s="173"/>
      <c r="F37" s="173"/>
      <c r="G37" s="182"/>
      <c r="H37" s="182"/>
      <c r="I37" s="182"/>
      <c r="J37" s="3"/>
      <c r="K37" s="3"/>
      <c r="L37" s="3"/>
      <c r="M37" s="3"/>
      <c r="N37" s="3"/>
      <c r="O37" s="3"/>
      <c r="P37" s="3"/>
      <c r="Q37" s="3"/>
      <c r="R37" s="3"/>
      <c r="S37" s="3"/>
      <c r="T37" s="3"/>
    </row>
    <row r="38" spans="1:20" s="176" customFormat="1" ht="15" customHeight="1" x14ac:dyDescent="0.35">
      <c r="A38" s="3"/>
      <c r="B38" s="201"/>
      <c r="C38" s="173"/>
      <c r="D38" s="173"/>
      <c r="E38" s="173"/>
      <c r="F38" s="173"/>
      <c r="G38" s="182"/>
      <c r="H38" s="182"/>
      <c r="I38" s="182"/>
      <c r="J38" s="3"/>
      <c r="K38" s="3"/>
      <c r="L38" s="3"/>
      <c r="M38" s="3"/>
      <c r="N38" s="3"/>
      <c r="O38" s="3"/>
      <c r="P38" s="3"/>
      <c r="Q38" s="3"/>
      <c r="R38" s="3"/>
      <c r="S38" s="3"/>
      <c r="T38" s="3"/>
    </row>
    <row r="39" spans="1:20" s="176" customFormat="1" ht="15" customHeight="1" x14ac:dyDescent="0.35">
      <c r="A39" s="3"/>
      <c r="B39" s="201"/>
      <c r="C39" s="173"/>
      <c r="D39" s="173"/>
      <c r="E39" s="173"/>
      <c r="F39" s="173"/>
      <c r="G39" s="173"/>
      <c r="H39" s="173"/>
      <c r="I39" s="182"/>
      <c r="J39" s="3"/>
      <c r="K39" s="3"/>
      <c r="L39" s="3"/>
      <c r="M39" s="3"/>
      <c r="N39" s="3"/>
      <c r="O39" s="3"/>
      <c r="P39" s="3"/>
      <c r="Q39" s="3"/>
      <c r="R39" s="3"/>
      <c r="S39" s="3"/>
      <c r="T39" s="3"/>
    </row>
    <row r="40" spans="1:20" s="176" customFormat="1" ht="15" customHeight="1" x14ac:dyDescent="0.35">
      <c r="A40" s="3"/>
      <c r="B40" s="177"/>
      <c r="C40" s="173"/>
      <c r="D40" s="173"/>
      <c r="E40" s="173"/>
      <c r="F40" s="173"/>
      <c r="G40" s="173"/>
      <c r="H40" s="173"/>
      <c r="I40" s="182"/>
      <c r="J40" s="3"/>
      <c r="K40" s="3"/>
      <c r="L40" s="3"/>
      <c r="M40" s="3"/>
      <c r="N40" s="3"/>
      <c r="O40" s="3"/>
      <c r="P40" s="3"/>
      <c r="Q40" s="3"/>
      <c r="R40" s="3"/>
      <c r="S40" s="3"/>
      <c r="T40" s="3"/>
    </row>
    <row r="41" spans="1:20" s="176" customFormat="1" ht="15" customHeight="1" x14ac:dyDescent="0.35">
      <c r="A41" s="3"/>
      <c r="B41" s="177"/>
      <c r="C41" s="173"/>
      <c r="D41" s="173"/>
      <c r="E41" s="173"/>
      <c r="F41" s="173"/>
      <c r="G41" s="173"/>
      <c r="H41" s="173"/>
      <c r="I41" s="182"/>
      <c r="J41" s="3"/>
      <c r="K41" s="3"/>
      <c r="L41" s="3"/>
      <c r="M41" s="3"/>
      <c r="N41" s="3"/>
      <c r="O41" s="3"/>
      <c r="P41" s="3"/>
      <c r="Q41" s="3"/>
      <c r="R41" s="3"/>
      <c r="S41" s="3"/>
      <c r="T41" s="3"/>
    </row>
    <row r="42" spans="1:20" s="176" customFormat="1" ht="24.5" customHeight="1" x14ac:dyDescent="0.35">
      <c r="A42" s="3"/>
      <c r="B42" s="276" t="s">
        <v>313</v>
      </c>
      <c r="C42" s="276"/>
      <c r="D42" s="276"/>
      <c r="E42" s="276"/>
      <c r="F42" s="277"/>
      <c r="G42" s="277"/>
      <c r="H42" s="278"/>
      <c r="I42" s="212"/>
      <c r="J42" s="3"/>
      <c r="K42" s="3"/>
      <c r="L42" s="3"/>
      <c r="M42" s="3"/>
      <c r="N42" s="3"/>
      <c r="O42" s="3"/>
      <c r="P42" s="3"/>
      <c r="Q42" s="3"/>
      <c r="R42" s="3"/>
      <c r="S42" s="3"/>
      <c r="T42" s="3"/>
    </row>
    <row r="43" spans="1:20" s="176" customFormat="1" ht="16.5" customHeight="1" x14ac:dyDescent="0.35">
      <c r="B43" s="279" t="s">
        <v>272</v>
      </c>
      <c r="C43" s="279"/>
      <c r="D43" s="279"/>
      <c r="E43" s="215"/>
      <c r="F43" s="180"/>
      <c r="G43" s="213"/>
      <c r="H43" s="213"/>
      <c r="I43" s="3"/>
      <c r="J43" s="3"/>
      <c r="K43" s="3"/>
      <c r="L43" s="3"/>
      <c r="M43" s="3"/>
      <c r="N43" s="3"/>
      <c r="O43" s="3"/>
      <c r="P43" s="3"/>
      <c r="Q43" s="3"/>
      <c r="R43" s="3"/>
      <c r="S43" s="3"/>
      <c r="T43" s="3"/>
    </row>
    <row r="44" spans="1:20" s="176" customFormat="1" ht="19" customHeight="1" x14ac:dyDescent="0.35">
      <c r="A44" s="3"/>
      <c r="B44" s="216"/>
      <c r="C44" s="217"/>
      <c r="D44" s="183"/>
      <c r="E44" s="183"/>
      <c r="F44" s="183"/>
      <c r="G44" s="183"/>
      <c r="H44" s="183"/>
      <c r="I44" s="3"/>
      <c r="J44" s="3"/>
      <c r="K44" s="3"/>
      <c r="L44" s="3"/>
      <c r="M44" s="3"/>
      <c r="N44" s="3"/>
      <c r="O44" s="3"/>
      <c r="P44" s="3"/>
      <c r="Q44" s="3"/>
      <c r="R44" s="3"/>
      <c r="S44" s="3"/>
      <c r="T44" s="3"/>
    </row>
    <row r="45" spans="1:20" ht="20.5" customHeight="1" x14ac:dyDescent="0.35">
      <c r="A45" s="169"/>
      <c r="B45" s="280" t="s">
        <v>261</v>
      </c>
      <c r="C45" s="281"/>
      <c r="D45" s="281"/>
      <c r="E45" s="282"/>
      <c r="F45" s="169"/>
      <c r="G45" s="169"/>
      <c r="H45" s="169"/>
      <c r="I45" s="169"/>
      <c r="J45" s="169"/>
      <c r="K45" s="169"/>
      <c r="L45" s="169"/>
      <c r="M45" s="169"/>
      <c r="N45" s="169"/>
      <c r="O45" s="169"/>
      <c r="P45" s="169"/>
      <c r="Q45" s="169"/>
      <c r="R45" s="169"/>
      <c r="S45" s="169"/>
    </row>
    <row r="46" spans="1:20" ht="41.5" customHeight="1" x14ac:dyDescent="0.35">
      <c r="A46" s="169"/>
      <c r="B46" s="121" t="s">
        <v>257</v>
      </c>
      <c r="C46" s="121" t="s">
        <v>249</v>
      </c>
      <c r="D46" s="121" t="s">
        <v>299</v>
      </c>
      <c r="E46" s="121" t="s">
        <v>262</v>
      </c>
      <c r="F46" s="169"/>
      <c r="G46" s="211"/>
      <c r="H46" s="169"/>
      <c r="I46" s="169"/>
      <c r="J46" s="169"/>
      <c r="K46" s="169"/>
      <c r="L46" s="169"/>
      <c r="M46" s="169"/>
      <c r="N46" s="169"/>
      <c r="O46" s="169"/>
      <c r="P46" s="169"/>
      <c r="Q46" s="169"/>
      <c r="R46" s="169"/>
      <c r="S46" s="169"/>
    </row>
    <row r="47" spans="1:20" ht="26" customHeight="1" x14ac:dyDescent="0.35">
      <c r="A47" s="169"/>
      <c r="B47" s="186"/>
      <c r="C47" s="187"/>
      <c r="D47" s="187"/>
      <c r="E47" s="187"/>
      <c r="F47" s="169"/>
      <c r="G47" s="169"/>
      <c r="H47" s="169"/>
      <c r="I47" s="169"/>
      <c r="J47" s="169"/>
      <c r="K47" s="169"/>
      <c r="L47" s="169"/>
      <c r="M47" s="169"/>
      <c r="N47" s="169"/>
      <c r="O47" s="169"/>
      <c r="P47" s="169"/>
      <c r="Q47" s="169"/>
      <c r="R47" s="169"/>
      <c r="S47" s="169"/>
    </row>
    <row r="48" spans="1:20" x14ac:dyDescent="0.35">
      <c r="A48" s="169"/>
      <c r="B48" s="169"/>
      <c r="C48" s="169"/>
      <c r="D48" s="169"/>
      <c r="E48" s="169"/>
      <c r="F48" s="169"/>
      <c r="G48" s="169"/>
      <c r="H48" s="169"/>
      <c r="I48" s="169"/>
      <c r="J48" s="169"/>
      <c r="K48" s="169"/>
      <c r="L48" s="169"/>
      <c r="M48" s="169"/>
      <c r="N48" s="169"/>
      <c r="O48" s="169"/>
      <c r="P48" s="169"/>
      <c r="Q48" s="169"/>
      <c r="R48" s="169"/>
      <c r="S48" s="169"/>
    </row>
    <row r="49" spans="1:19" x14ac:dyDescent="0.35">
      <c r="A49" s="169"/>
      <c r="B49" s="169"/>
      <c r="C49" s="169"/>
      <c r="D49" s="169"/>
      <c r="E49" s="169"/>
      <c r="F49" s="169"/>
      <c r="G49" s="169"/>
      <c r="H49" s="169"/>
      <c r="I49" s="169"/>
      <c r="J49" s="169"/>
      <c r="K49" s="169"/>
      <c r="L49" s="169"/>
      <c r="M49" s="169"/>
      <c r="N49" s="169"/>
      <c r="O49" s="169"/>
      <c r="P49" s="169"/>
      <c r="Q49" s="169"/>
      <c r="R49" s="169"/>
      <c r="S49" s="169"/>
    </row>
    <row r="50" spans="1:19" ht="18" customHeight="1" x14ac:dyDescent="0.35">
      <c r="A50" s="169"/>
      <c r="B50" s="206" t="s">
        <v>254</v>
      </c>
      <c r="C50" s="269" t="s">
        <v>298</v>
      </c>
      <c r="D50" s="269"/>
      <c r="E50" s="169"/>
      <c r="F50" s="169"/>
      <c r="G50" s="169"/>
      <c r="H50" s="169"/>
      <c r="I50" s="169"/>
      <c r="J50" s="169"/>
      <c r="K50" s="169"/>
      <c r="L50" s="169"/>
      <c r="M50" s="169"/>
      <c r="N50" s="169"/>
      <c r="O50" s="169"/>
      <c r="P50" s="169"/>
      <c r="Q50" s="169"/>
      <c r="R50" s="169"/>
      <c r="S50" s="169"/>
    </row>
    <row r="51" spans="1:19" x14ac:dyDescent="0.35">
      <c r="A51" s="169"/>
      <c r="C51" s="169"/>
      <c r="E51" s="169"/>
      <c r="F51" s="169"/>
      <c r="G51" s="169"/>
      <c r="H51" s="169"/>
      <c r="I51" s="169"/>
      <c r="J51" s="169"/>
      <c r="K51" s="169"/>
      <c r="L51" s="169"/>
      <c r="M51" s="169"/>
      <c r="N51" s="169"/>
      <c r="O51" s="169"/>
      <c r="P51" s="169"/>
      <c r="Q51" s="169"/>
      <c r="R51" s="169"/>
      <c r="S51" s="169"/>
    </row>
    <row r="52" spans="1:19" x14ac:dyDescent="0.35">
      <c r="A52" s="169"/>
      <c r="B52" s="210" t="s">
        <v>281</v>
      </c>
      <c r="C52" s="269" t="s">
        <v>298</v>
      </c>
      <c r="D52" s="269"/>
      <c r="E52" s="169"/>
      <c r="F52" s="169"/>
      <c r="G52" s="169"/>
      <c r="H52" s="169"/>
      <c r="I52" s="169"/>
      <c r="J52" s="169"/>
      <c r="K52" s="169"/>
      <c r="L52" s="169"/>
      <c r="M52" s="169"/>
      <c r="N52" s="169"/>
      <c r="O52" s="169"/>
      <c r="P52" s="169"/>
      <c r="Q52" s="169"/>
      <c r="R52" s="169"/>
      <c r="S52" s="169"/>
    </row>
    <row r="53" spans="1:19" x14ac:dyDescent="0.35">
      <c r="A53" s="169"/>
      <c r="B53" s="169"/>
      <c r="C53" s="169"/>
      <c r="D53" s="169"/>
      <c r="E53" s="169"/>
      <c r="F53" s="169"/>
      <c r="G53" s="169"/>
      <c r="H53" s="169"/>
      <c r="I53" s="169"/>
      <c r="J53" s="169"/>
      <c r="K53" s="169"/>
      <c r="L53" s="169"/>
      <c r="M53" s="169"/>
      <c r="N53" s="169"/>
      <c r="O53" s="169"/>
      <c r="P53" s="169"/>
      <c r="Q53" s="169"/>
      <c r="R53" s="169"/>
      <c r="S53" s="169"/>
    </row>
    <row r="54" spans="1:19" x14ac:dyDescent="0.35">
      <c r="A54" s="169"/>
      <c r="B54" s="169"/>
      <c r="C54" s="169"/>
      <c r="D54" s="169"/>
      <c r="E54" s="169"/>
      <c r="F54" s="169"/>
      <c r="G54" s="169"/>
      <c r="H54" s="169"/>
      <c r="I54" s="169"/>
      <c r="J54" s="169"/>
      <c r="K54" s="169"/>
      <c r="L54" s="169"/>
      <c r="M54" s="169"/>
      <c r="N54" s="169"/>
      <c r="O54" s="169"/>
      <c r="P54" s="169"/>
      <c r="Q54" s="169"/>
      <c r="R54" s="169"/>
      <c r="S54" s="169"/>
    </row>
    <row r="55" spans="1:19" x14ac:dyDescent="0.35">
      <c r="A55" s="169"/>
      <c r="B55" s="169"/>
      <c r="C55" s="169"/>
      <c r="D55" s="169"/>
      <c r="E55" s="169"/>
      <c r="F55" s="169"/>
      <c r="G55" s="169"/>
      <c r="H55" s="169"/>
      <c r="I55" s="169"/>
      <c r="J55" s="169"/>
      <c r="K55" s="169"/>
      <c r="L55" s="169"/>
      <c r="M55" s="169"/>
      <c r="N55" s="169"/>
      <c r="O55" s="169"/>
      <c r="P55" s="169"/>
      <c r="Q55" s="169"/>
      <c r="R55" s="169"/>
      <c r="S55" s="169"/>
    </row>
    <row r="56" spans="1:19" x14ac:dyDescent="0.35">
      <c r="A56" s="169"/>
      <c r="B56" s="169"/>
      <c r="C56" s="169"/>
      <c r="D56" s="169"/>
      <c r="E56" s="169"/>
      <c r="F56" s="169"/>
      <c r="G56" s="169"/>
      <c r="H56" s="169"/>
      <c r="I56" s="169"/>
      <c r="J56" s="169"/>
      <c r="K56" s="169"/>
      <c r="L56" s="169"/>
      <c r="M56" s="169"/>
      <c r="N56" s="169"/>
      <c r="O56" s="169"/>
      <c r="P56" s="169"/>
      <c r="Q56" s="169"/>
      <c r="R56" s="169"/>
      <c r="S56" s="169"/>
    </row>
    <row r="57" spans="1:19" x14ac:dyDescent="0.35">
      <c r="A57" s="169"/>
      <c r="B57" s="169"/>
      <c r="C57" s="169"/>
      <c r="D57" s="169"/>
      <c r="E57" s="169"/>
      <c r="F57" s="169"/>
      <c r="G57" s="169"/>
      <c r="H57" s="169"/>
      <c r="I57" s="169"/>
      <c r="J57" s="169"/>
      <c r="K57" s="169"/>
      <c r="L57" s="169"/>
      <c r="M57" s="169"/>
      <c r="N57" s="169"/>
      <c r="O57" s="169"/>
      <c r="P57" s="169"/>
      <c r="Q57" s="169"/>
      <c r="R57" s="169"/>
      <c r="S57" s="169"/>
    </row>
    <row r="58" spans="1:19" s="169" customFormat="1" x14ac:dyDescent="0.35"/>
  </sheetData>
  <mergeCells count="12">
    <mergeCell ref="C52:D52"/>
    <mergeCell ref="B12:J12"/>
    <mergeCell ref="B16:G16"/>
    <mergeCell ref="B17:F17"/>
    <mergeCell ref="B21:F21"/>
    <mergeCell ref="B23:F23"/>
    <mergeCell ref="C25:E25"/>
    <mergeCell ref="B35:I35"/>
    <mergeCell ref="B42:H42"/>
    <mergeCell ref="B43:D43"/>
    <mergeCell ref="B45:E45"/>
    <mergeCell ref="C50:D50"/>
  </mergeCells>
  <dataValidations disablePrompts="1" count="2">
    <dataValidation type="list" allowBlank="1" showInputMessage="1" showErrorMessage="1" sqref="E34 E30:E31" xr:uid="{D39FA4B5-FDFD-4C48-AB92-47918F914FCF}">
      <formula1>#REF!</formula1>
    </dataValidation>
    <dataValidation type="list" allowBlank="1" showInputMessage="1" showErrorMessage="1" sqref="J32" xr:uid="{2B47DB03-5685-426D-A16A-41A125693EEE}">
      <formula1>#REF!</formula1>
    </dataValidation>
  </dataValidations>
  <pageMargins left="0.7" right="0.7" top="0.75" bottom="0.75" header="0.3" footer="0.3"/>
  <pageSetup paperSize="9" scale="73" orientation="landscape" r:id="rId1"/>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51914A54-D41E-43AD-9CB6-C6F3BCC23B9C}">
          <x14:formula1>
            <xm:f>'aux (2)'!$D$3:$D$5</xm:f>
          </x14:formula1>
          <xm:sqref>E27:E29</xm:sqref>
        </x14:dataValidation>
        <x14:dataValidation type="list" allowBlank="1" showInputMessage="1" showErrorMessage="1" xr:uid="{6656DEB7-8719-4E7C-AE04-A048E482E4A3}">
          <x14:formula1>
            <xm:f>'aux (2)'!$C$3:$C$4</xm:f>
          </x14:formula1>
          <xm:sqref>I37:I42</xm:sqref>
        </x14:dataValidation>
        <x14:dataValidation type="list" allowBlank="1" showInputMessage="1" showErrorMessage="1" xr:uid="{E972A2EC-7037-469B-B99F-9B8C864DDA38}">
          <x14:formula1>
            <xm:f>'aux (2)'!$E$3:$E$9</xm:f>
          </x14:formula1>
          <xm:sqref>C47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E4751-3301-4A64-83F1-110504E454DE}">
  <sheetPr>
    <tabColor rgb="FFC00000"/>
  </sheetPr>
  <dimension ref="A1:S28"/>
  <sheetViews>
    <sheetView tabSelected="1" topLeftCell="A7" zoomScale="75" zoomScaleNormal="75" workbookViewId="0">
      <selection activeCell="B22" sqref="B22:K22"/>
    </sheetView>
  </sheetViews>
  <sheetFormatPr baseColWidth="10" defaultColWidth="10.81640625" defaultRowHeight="14.5" x14ac:dyDescent="0.35"/>
  <cols>
    <col min="1" max="1" width="4.81640625" style="6" customWidth="1"/>
    <col min="2" max="3" width="22.90625" style="6" customWidth="1"/>
    <col min="4" max="4" width="21.26953125" style="6" customWidth="1"/>
    <col min="5" max="5" width="16.81640625" style="6" customWidth="1"/>
    <col min="6" max="6" width="18.1796875" style="6" customWidth="1"/>
    <col min="7" max="8" width="17.26953125" style="6" customWidth="1"/>
    <col min="9" max="9" width="16.453125" style="6" customWidth="1"/>
    <col min="10" max="10" width="19.36328125" style="6" customWidth="1"/>
    <col min="11" max="11" width="18.26953125" style="6" customWidth="1"/>
    <col min="12" max="12" width="17.453125" style="6" customWidth="1"/>
    <col min="13" max="13" width="15" style="6" customWidth="1"/>
    <col min="14" max="14" width="15.453125" style="6" customWidth="1"/>
    <col min="15" max="15" width="13.453125" style="6" customWidth="1"/>
    <col min="16" max="16" width="19" style="6" customWidth="1"/>
    <col min="17" max="18" width="13.453125" style="6" customWidth="1"/>
    <col min="19" max="19" width="12" style="169" customWidth="1"/>
    <col min="20" max="21" width="10.81640625" style="6" customWidth="1"/>
    <col min="22" max="16384" width="10.81640625" style="6"/>
  </cols>
  <sheetData>
    <row r="1" spans="1:18" x14ac:dyDescent="0.35">
      <c r="A1" s="169"/>
      <c r="B1" s="169"/>
      <c r="C1" s="169"/>
      <c r="D1" s="169"/>
      <c r="E1" s="169"/>
      <c r="F1" s="169"/>
      <c r="G1" s="169"/>
      <c r="H1" s="169"/>
      <c r="I1" s="169"/>
      <c r="J1" s="169"/>
      <c r="K1" s="169"/>
      <c r="L1" s="169"/>
      <c r="M1" s="169"/>
      <c r="N1" s="169"/>
      <c r="O1" s="169"/>
      <c r="P1" s="169"/>
      <c r="Q1" s="169"/>
      <c r="R1" s="169"/>
    </row>
    <row r="2" spans="1:18" x14ac:dyDescent="0.35">
      <c r="A2" s="169"/>
      <c r="B2" s="169"/>
      <c r="C2" s="169"/>
      <c r="D2" s="169"/>
      <c r="E2" s="169"/>
      <c r="F2" s="169"/>
      <c r="G2" s="169"/>
      <c r="H2" s="169"/>
      <c r="I2" s="169"/>
      <c r="J2" s="169"/>
      <c r="K2" s="169"/>
      <c r="L2" s="169"/>
      <c r="M2" s="169"/>
      <c r="N2" s="169"/>
      <c r="O2" s="169"/>
      <c r="P2" s="169"/>
      <c r="Q2" s="169"/>
      <c r="R2" s="169"/>
    </row>
    <row r="3" spans="1:18" x14ac:dyDescent="0.35">
      <c r="A3" s="169"/>
      <c r="B3" s="169"/>
      <c r="C3" s="169"/>
      <c r="D3" s="169"/>
      <c r="E3" s="169"/>
      <c r="F3" s="169"/>
      <c r="G3" s="169"/>
      <c r="H3" s="169"/>
      <c r="I3" s="169"/>
      <c r="J3" s="169"/>
      <c r="K3" s="169"/>
      <c r="L3" s="169"/>
      <c r="M3" s="169"/>
      <c r="N3" s="169"/>
      <c r="O3" s="169"/>
      <c r="P3" s="169"/>
      <c r="Q3" s="169"/>
      <c r="R3" s="169"/>
    </row>
    <row r="4" spans="1:18" x14ac:dyDescent="0.35">
      <c r="A4" s="169"/>
      <c r="B4" s="169"/>
      <c r="C4" s="169"/>
      <c r="D4" s="169"/>
      <c r="E4" s="169"/>
      <c r="F4" s="169"/>
      <c r="G4" s="169"/>
      <c r="H4" s="169"/>
      <c r="I4" s="169"/>
      <c r="J4" s="169"/>
      <c r="K4" s="169"/>
      <c r="L4" s="169"/>
      <c r="M4" s="169"/>
      <c r="N4" s="169"/>
      <c r="O4" s="169"/>
      <c r="P4" s="169"/>
      <c r="Q4" s="169"/>
      <c r="R4" s="169"/>
    </row>
    <row r="5" spans="1:18" x14ac:dyDescent="0.35">
      <c r="A5" s="169"/>
      <c r="B5" s="169"/>
      <c r="C5" s="169"/>
      <c r="D5" s="169"/>
      <c r="E5" s="169"/>
      <c r="F5" s="169"/>
      <c r="G5" s="169"/>
      <c r="H5" s="169"/>
      <c r="I5" s="169"/>
      <c r="J5" s="169"/>
      <c r="K5" s="169"/>
      <c r="L5" s="169"/>
      <c r="M5" s="169"/>
      <c r="N5" s="169"/>
      <c r="O5" s="169"/>
      <c r="P5" s="169"/>
      <c r="Q5" s="169"/>
      <c r="R5" s="169"/>
    </row>
    <row r="6" spans="1:18" x14ac:dyDescent="0.35">
      <c r="A6" s="169"/>
      <c r="B6" s="169"/>
      <c r="C6" s="169"/>
      <c r="D6" s="169"/>
      <c r="E6" s="169"/>
      <c r="F6" s="169"/>
      <c r="G6" s="169"/>
      <c r="H6" s="169"/>
      <c r="I6" s="169"/>
      <c r="J6" s="169"/>
      <c r="K6" s="169"/>
      <c r="L6" s="169"/>
      <c r="M6" s="169"/>
      <c r="N6" s="169"/>
      <c r="O6" s="169"/>
      <c r="P6" s="169"/>
      <c r="Q6" s="169"/>
      <c r="R6" s="169"/>
    </row>
    <row r="7" spans="1:18" x14ac:dyDescent="0.35">
      <c r="A7" s="169"/>
      <c r="B7" s="169"/>
      <c r="C7" s="169"/>
      <c r="D7" s="169"/>
      <c r="E7" s="169"/>
      <c r="F7" s="169"/>
      <c r="I7" s="169"/>
      <c r="J7" s="169"/>
      <c r="K7" s="169"/>
      <c r="L7" s="169"/>
      <c r="M7" s="169"/>
      <c r="N7" s="169"/>
      <c r="O7" s="169"/>
      <c r="P7" s="169"/>
      <c r="Q7" s="169"/>
      <c r="R7" s="169"/>
    </row>
    <row r="8" spans="1:18" x14ac:dyDescent="0.35">
      <c r="A8" s="169"/>
      <c r="B8" s="169"/>
      <c r="C8" s="169"/>
      <c r="D8" s="169"/>
      <c r="E8" s="169"/>
      <c r="F8" s="169"/>
      <c r="G8" s="169"/>
      <c r="H8" s="169"/>
      <c r="I8" s="169"/>
      <c r="J8" s="169"/>
      <c r="K8" s="169"/>
      <c r="L8" s="169"/>
      <c r="M8" s="169"/>
      <c r="N8" s="169"/>
      <c r="O8" s="169"/>
      <c r="P8" s="169"/>
      <c r="Q8" s="169"/>
      <c r="R8" s="169"/>
    </row>
    <row r="9" spans="1:18" x14ac:dyDescent="0.35">
      <c r="A9" s="169"/>
      <c r="D9" s="169"/>
      <c r="E9" s="169"/>
      <c r="F9" s="169"/>
      <c r="G9" s="169"/>
      <c r="H9" s="169"/>
      <c r="I9" s="169"/>
      <c r="J9" s="169"/>
      <c r="K9" s="169"/>
      <c r="L9" s="169"/>
      <c r="M9" s="169"/>
      <c r="N9" s="169"/>
      <c r="O9" s="169"/>
      <c r="P9" s="169"/>
      <c r="Q9" s="169"/>
      <c r="R9" s="169"/>
    </row>
    <row r="10" spans="1:18" ht="16.5" customHeight="1" x14ac:dyDescent="0.35">
      <c r="A10" s="169"/>
      <c r="B10" s="189" t="s">
        <v>274</v>
      </c>
      <c r="C10" s="221"/>
      <c r="D10" s="169"/>
      <c r="E10" s="169"/>
      <c r="F10" s="169"/>
      <c r="G10" s="169"/>
      <c r="H10" s="169"/>
      <c r="I10" s="169"/>
      <c r="J10" s="169"/>
      <c r="K10" s="169"/>
      <c r="L10" s="169"/>
      <c r="M10" s="169"/>
    </row>
    <row r="11" spans="1:18" ht="16.5" customHeight="1" x14ac:dyDescent="0.35">
      <c r="A11" s="169"/>
      <c r="B11" s="189"/>
      <c r="C11" s="221"/>
      <c r="D11" s="169"/>
      <c r="E11" s="169"/>
      <c r="F11" s="169"/>
      <c r="G11" s="169"/>
      <c r="H11" s="169"/>
      <c r="I11" s="169"/>
      <c r="J11" s="169"/>
      <c r="K11" s="169"/>
      <c r="L11" s="169"/>
      <c r="M11" s="169"/>
    </row>
    <row r="12" spans="1:18" ht="16.5" customHeight="1" x14ac:dyDescent="0.35">
      <c r="A12" s="169"/>
      <c r="B12" s="195" t="s">
        <v>275</v>
      </c>
      <c r="C12" s="195"/>
      <c r="D12" s="187"/>
      <c r="F12" s="169"/>
      <c r="G12" s="169"/>
      <c r="H12" s="169"/>
      <c r="I12" s="169"/>
      <c r="J12" s="169"/>
      <c r="K12" s="169"/>
      <c r="L12" s="169"/>
      <c r="M12" s="169"/>
    </row>
    <row r="13" spans="1:18" x14ac:dyDescent="0.35">
      <c r="A13" s="169"/>
      <c r="B13" s="169"/>
      <c r="C13" s="169"/>
      <c r="D13" s="169"/>
      <c r="E13" s="169"/>
      <c r="F13" s="169"/>
      <c r="G13" s="169"/>
      <c r="H13" s="169"/>
      <c r="I13" s="169"/>
      <c r="J13" s="169"/>
      <c r="K13" s="169"/>
      <c r="L13" s="169"/>
      <c r="M13" s="169"/>
    </row>
    <row r="14" spans="1:18" ht="19" customHeight="1" x14ac:dyDescent="0.35">
      <c r="A14" s="169"/>
      <c r="B14" s="283" t="s">
        <v>315</v>
      </c>
      <c r="C14" s="299" t="s">
        <v>321</v>
      </c>
      <c r="D14" s="285" t="s">
        <v>269</v>
      </c>
      <c r="E14" s="286"/>
      <c r="F14" s="286"/>
      <c r="G14" s="286"/>
      <c r="H14" s="287"/>
      <c r="I14" s="288" t="s">
        <v>268</v>
      </c>
      <c r="J14" s="288"/>
      <c r="K14" s="288"/>
      <c r="L14" s="288"/>
      <c r="M14" s="169"/>
    </row>
    <row r="15" spans="1:18" ht="40" customHeight="1" x14ac:dyDescent="0.35">
      <c r="B15" s="283"/>
      <c r="C15" s="300"/>
      <c r="D15" s="174" t="s">
        <v>267</v>
      </c>
      <c r="E15" s="174" t="s">
        <v>302</v>
      </c>
      <c r="F15" s="174" t="s">
        <v>303</v>
      </c>
      <c r="G15" s="174" t="s">
        <v>304</v>
      </c>
      <c r="H15" s="220" t="s">
        <v>320</v>
      </c>
      <c r="I15" s="174" t="s">
        <v>305</v>
      </c>
      <c r="J15" s="174" t="s">
        <v>303</v>
      </c>
      <c r="K15" s="174" t="s">
        <v>304</v>
      </c>
      <c r="L15" s="220" t="s">
        <v>320</v>
      </c>
      <c r="M15" s="169"/>
    </row>
    <row r="16" spans="1:18" x14ac:dyDescent="0.35">
      <c r="A16" s="169"/>
      <c r="B16" s="301"/>
      <c r="C16" s="113" t="s">
        <v>323</v>
      </c>
      <c r="D16" s="174"/>
      <c r="E16" s="173"/>
      <c r="F16" s="173"/>
      <c r="G16" s="173"/>
      <c r="H16" s="173"/>
      <c r="I16" s="175"/>
      <c r="J16" s="175"/>
      <c r="K16" s="173"/>
      <c r="L16" s="173"/>
      <c r="M16" s="169"/>
    </row>
    <row r="17" spans="1:13" x14ac:dyDescent="0.35">
      <c r="A17" s="169"/>
      <c r="B17" s="303"/>
      <c r="C17" s="113" t="s">
        <v>324</v>
      </c>
      <c r="D17" s="174"/>
      <c r="E17" s="173"/>
      <c r="F17" s="173"/>
      <c r="G17" s="173"/>
      <c r="H17" s="173"/>
      <c r="I17" s="175"/>
      <c r="J17" s="175"/>
      <c r="K17" s="173"/>
      <c r="L17" s="173"/>
      <c r="M17" s="169"/>
    </row>
    <row r="18" spans="1:13" x14ac:dyDescent="0.35">
      <c r="A18" s="169"/>
      <c r="B18" s="302"/>
      <c r="C18" s="170" t="s">
        <v>322</v>
      </c>
      <c r="D18" s="174"/>
      <c r="E18" s="173"/>
      <c r="F18" s="173"/>
      <c r="G18" s="173"/>
      <c r="H18" s="173"/>
      <c r="I18" s="175"/>
      <c r="J18" s="175"/>
      <c r="K18" s="173"/>
      <c r="L18" s="173"/>
      <c r="M18" s="169"/>
    </row>
    <row r="19" spans="1:13" ht="15" thickBot="1" x14ac:dyDescent="0.4">
      <c r="A19" s="169"/>
      <c r="B19" s="170" t="s">
        <v>260</v>
      </c>
      <c r="C19" s="170"/>
      <c r="D19" s="174"/>
      <c r="E19" s="173"/>
      <c r="F19" s="173"/>
      <c r="G19" s="191"/>
      <c r="H19" s="173"/>
      <c r="I19" s="175"/>
      <c r="J19" s="175"/>
      <c r="K19" s="191"/>
      <c r="L19" s="173"/>
      <c r="M19" s="169"/>
    </row>
    <row r="20" spans="1:13" ht="15" thickBot="1" x14ac:dyDescent="0.4">
      <c r="A20" s="169"/>
      <c r="B20" s="170" t="s">
        <v>270</v>
      </c>
      <c r="C20" s="170"/>
      <c r="D20" s="174"/>
      <c r="E20" s="173"/>
      <c r="F20" s="190"/>
      <c r="G20" s="192"/>
      <c r="H20" s="173"/>
      <c r="I20" s="175"/>
      <c r="J20" s="193"/>
      <c r="K20" s="192"/>
      <c r="L20" s="173"/>
      <c r="M20" s="169"/>
    </row>
    <row r="21" spans="1:13" x14ac:dyDescent="0.35">
      <c r="A21" s="169"/>
      <c r="B21" s="169"/>
      <c r="C21" s="169"/>
      <c r="D21" s="169"/>
      <c r="E21" s="169"/>
      <c r="F21" s="169"/>
      <c r="G21" s="169"/>
      <c r="H21" s="169"/>
      <c r="I21" s="169"/>
      <c r="J21" s="169"/>
      <c r="K21" s="169"/>
      <c r="L21" s="169"/>
      <c r="M21" s="169"/>
    </row>
    <row r="22" spans="1:13" ht="11" customHeight="1" x14ac:dyDescent="0.35">
      <c r="A22" s="169"/>
      <c r="B22" s="284" t="s">
        <v>316</v>
      </c>
      <c r="C22" s="284"/>
      <c r="D22" s="284"/>
      <c r="E22" s="284"/>
      <c r="F22" s="284"/>
      <c r="G22" s="284"/>
      <c r="H22" s="284"/>
      <c r="I22" s="284"/>
      <c r="J22" s="284"/>
      <c r="K22" s="284"/>
      <c r="L22" s="169"/>
      <c r="M22" s="169"/>
    </row>
    <row r="23" spans="1:13" x14ac:dyDescent="0.35">
      <c r="A23" s="169"/>
      <c r="B23" s="219" t="s">
        <v>317</v>
      </c>
      <c r="C23" s="219"/>
      <c r="D23" s="219"/>
      <c r="E23" s="219"/>
      <c r="F23" s="219"/>
      <c r="G23" s="219"/>
      <c r="H23" s="219"/>
      <c r="I23" s="219"/>
      <c r="J23" s="219"/>
      <c r="K23" s="219"/>
      <c r="L23" s="169"/>
      <c r="M23" s="169"/>
    </row>
    <row r="24" spans="1:13" x14ac:dyDescent="0.35">
      <c r="A24" s="169"/>
      <c r="B24" s="169"/>
      <c r="C24" s="169"/>
      <c r="D24" s="169"/>
      <c r="E24" s="169"/>
      <c r="F24" s="169"/>
      <c r="G24" s="169"/>
      <c r="H24" s="169"/>
      <c r="I24" s="169"/>
      <c r="J24" s="169"/>
      <c r="K24" s="169"/>
      <c r="L24" s="169"/>
      <c r="M24" s="169"/>
    </row>
    <row r="25" spans="1:13" x14ac:dyDescent="0.35">
      <c r="A25" s="169"/>
      <c r="B25" s="169"/>
      <c r="C25" s="169"/>
      <c r="D25" s="169"/>
      <c r="E25" s="169"/>
      <c r="F25" s="169"/>
      <c r="G25" s="169"/>
      <c r="H25" s="169"/>
      <c r="I25" s="169"/>
      <c r="J25" s="169"/>
      <c r="K25" s="169"/>
      <c r="L25" s="169"/>
      <c r="M25" s="169"/>
    </row>
    <row r="26" spans="1:13" x14ac:dyDescent="0.35">
      <c r="A26" s="169"/>
      <c r="B26" s="169"/>
      <c r="C26" s="169"/>
      <c r="D26" s="169"/>
      <c r="E26" s="169"/>
      <c r="F26" s="169"/>
      <c r="G26" s="169"/>
      <c r="H26" s="169"/>
      <c r="I26" s="169"/>
      <c r="J26" s="169"/>
      <c r="K26" s="169"/>
      <c r="L26" s="169"/>
      <c r="M26" s="169"/>
    </row>
    <row r="27" spans="1:13" x14ac:dyDescent="0.35">
      <c r="A27" s="169"/>
      <c r="B27" s="169"/>
      <c r="C27" s="169"/>
      <c r="D27" s="169"/>
      <c r="E27" s="169"/>
      <c r="F27" s="169"/>
      <c r="G27" s="169"/>
      <c r="H27" s="169"/>
      <c r="I27" s="169"/>
      <c r="J27" s="169"/>
      <c r="K27" s="169"/>
      <c r="L27" s="169"/>
      <c r="M27" s="169"/>
    </row>
    <row r="28" spans="1:13" x14ac:dyDescent="0.35">
      <c r="A28" s="169"/>
      <c r="B28" s="169"/>
      <c r="C28" s="169"/>
      <c r="D28" s="169"/>
      <c r="E28" s="169"/>
      <c r="F28" s="169"/>
      <c r="G28" s="169"/>
      <c r="H28" s="169"/>
      <c r="I28" s="169"/>
      <c r="J28" s="169"/>
      <c r="K28" s="169"/>
      <c r="L28" s="169"/>
      <c r="M28" s="169"/>
    </row>
  </sheetData>
  <mergeCells count="6">
    <mergeCell ref="B14:B15"/>
    <mergeCell ref="B22:K22"/>
    <mergeCell ref="D14:H14"/>
    <mergeCell ref="I14:L14"/>
    <mergeCell ref="C14:C15"/>
    <mergeCell ref="B16:B1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B0111-6DA4-4D80-9C51-A2A3A6120E33}">
  <dimension ref="A2:G33"/>
  <sheetViews>
    <sheetView zoomScale="68" workbookViewId="0">
      <selection activeCell="J22" sqref="J22"/>
    </sheetView>
  </sheetViews>
  <sheetFormatPr baseColWidth="10" defaultColWidth="8.81640625" defaultRowHeight="14.5" x14ac:dyDescent="0.35"/>
  <cols>
    <col min="1" max="1" width="5.453125" style="6" customWidth="1"/>
    <col min="2" max="2" width="27" style="6" customWidth="1"/>
    <col min="3" max="3" width="43.81640625" style="6" customWidth="1"/>
    <col min="4" max="4" width="47.81640625" style="6" customWidth="1"/>
    <col min="5" max="6" width="43.81640625" style="6" customWidth="1"/>
    <col min="7" max="7" width="5.81640625" style="6" customWidth="1"/>
    <col min="8" max="16384" width="8.81640625" style="6"/>
  </cols>
  <sheetData>
    <row r="2" spans="1:7" x14ac:dyDescent="0.35">
      <c r="A2" s="1"/>
      <c r="B2" s="118"/>
      <c r="C2" s="118"/>
      <c r="D2" s="1"/>
      <c r="E2" s="1"/>
      <c r="F2" s="1"/>
      <c r="G2" s="1"/>
    </row>
    <row r="3" spans="1:7" x14ac:dyDescent="0.35">
      <c r="A3" s="1"/>
      <c r="B3" s="117" t="s">
        <v>145</v>
      </c>
      <c r="C3" s="118"/>
      <c r="D3" s="1"/>
      <c r="E3" s="1"/>
      <c r="F3" s="1"/>
      <c r="G3" s="1"/>
    </row>
    <row r="4" spans="1:7" ht="5.5" customHeight="1" x14ac:dyDescent="0.35">
      <c r="A4" s="1"/>
      <c r="B4" s="118"/>
      <c r="C4" s="118"/>
      <c r="D4" s="1"/>
      <c r="E4" s="1"/>
      <c r="F4" s="1"/>
      <c r="G4" s="1"/>
    </row>
    <row r="5" spans="1:7" ht="51" customHeight="1" x14ac:dyDescent="0.35">
      <c r="A5" s="1"/>
      <c r="B5" s="120" t="s">
        <v>146</v>
      </c>
      <c r="C5" s="121" t="s">
        <v>147</v>
      </c>
      <c r="D5" s="121" t="s">
        <v>148</v>
      </c>
      <c r="E5" s="121" t="s">
        <v>149</v>
      </c>
      <c r="F5" s="122" t="s">
        <v>150</v>
      </c>
      <c r="G5" s="1"/>
    </row>
    <row r="6" spans="1:7" ht="43.5" x14ac:dyDescent="0.35">
      <c r="A6" s="1"/>
      <c r="B6" s="291" t="s">
        <v>151</v>
      </c>
      <c r="C6" s="123" t="s">
        <v>152</v>
      </c>
      <c r="D6" s="123" t="s">
        <v>153</v>
      </c>
      <c r="E6" s="123" t="s">
        <v>154</v>
      </c>
      <c r="F6" s="124" t="s">
        <v>155</v>
      </c>
      <c r="G6" s="1"/>
    </row>
    <row r="7" spans="1:7" x14ac:dyDescent="0.35">
      <c r="A7" s="1"/>
      <c r="B7" s="291"/>
      <c r="C7" s="125" t="s">
        <v>156</v>
      </c>
      <c r="D7" s="125" t="s">
        <v>157</v>
      </c>
      <c r="E7" s="125" t="s">
        <v>158</v>
      </c>
      <c r="F7" s="126">
        <v>1</v>
      </c>
      <c r="G7" s="1"/>
    </row>
    <row r="8" spans="1:7" ht="29" x14ac:dyDescent="0.35">
      <c r="A8" s="1"/>
      <c r="B8" s="291"/>
      <c r="C8" s="127" t="s">
        <v>159</v>
      </c>
      <c r="D8" s="125" t="s">
        <v>160</v>
      </c>
      <c r="E8" s="125" t="s">
        <v>161</v>
      </c>
      <c r="F8" s="126" t="s">
        <v>162</v>
      </c>
      <c r="G8" s="1"/>
    </row>
    <row r="9" spans="1:7" x14ac:dyDescent="0.35">
      <c r="A9" s="1"/>
      <c r="B9" s="291"/>
      <c r="C9" s="128" t="s">
        <v>163</v>
      </c>
      <c r="D9" s="125" t="s">
        <v>157</v>
      </c>
      <c r="E9" s="125" t="s">
        <v>161</v>
      </c>
      <c r="F9" s="126">
        <v>1</v>
      </c>
      <c r="G9" s="1"/>
    </row>
    <row r="10" spans="1:7" ht="29" x14ac:dyDescent="0.35">
      <c r="A10" s="1"/>
      <c r="B10" s="291"/>
      <c r="C10" s="127" t="s">
        <v>164</v>
      </c>
      <c r="D10" s="125" t="s">
        <v>165</v>
      </c>
      <c r="E10" s="125" t="s">
        <v>166</v>
      </c>
      <c r="F10" s="126" t="s">
        <v>167</v>
      </c>
      <c r="G10" s="1"/>
    </row>
    <row r="11" spans="1:7" ht="58" x14ac:dyDescent="0.35">
      <c r="A11" s="1"/>
      <c r="B11" s="291"/>
      <c r="C11" s="127" t="s">
        <v>168</v>
      </c>
      <c r="D11" s="125" t="s">
        <v>169</v>
      </c>
      <c r="E11" s="125" t="s">
        <v>154</v>
      </c>
      <c r="F11" s="126" t="s">
        <v>170</v>
      </c>
      <c r="G11" s="1"/>
    </row>
    <row r="12" spans="1:7" x14ac:dyDescent="0.35">
      <c r="A12" s="1"/>
      <c r="B12" s="291"/>
      <c r="C12" s="128" t="s">
        <v>171</v>
      </c>
      <c r="D12" s="125" t="s">
        <v>172</v>
      </c>
      <c r="E12" s="125" t="s">
        <v>154</v>
      </c>
      <c r="F12" s="129">
        <v>1</v>
      </c>
      <c r="G12" s="1"/>
    </row>
    <row r="13" spans="1:7" x14ac:dyDescent="0.35">
      <c r="A13" s="1"/>
      <c r="B13" s="292"/>
      <c r="C13" s="130" t="s">
        <v>173</v>
      </c>
      <c r="D13" s="131" t="s">
        <v>174</v>
      </c>
      <c r="E13" s="131" t="s">
        <v>154</v>
      </c>
      <c r="F13" s="132" t="s">
        <v>175</v>
      </c>
      <c r="G13" s="1"/>
    </row>
    <row r="14" spans="1:7" ht="58" x14ac:dyDescent="0.35">
      <c r="A14" s="1"/>
      <c r="B14" s="290" t="s">
        <v>176</v>
      </c>
      <c r="C14" s="123" t="s">
        <v>177</v>
      </c>
      <c r="D14" s="123" t="s">
        <v>178</v>
      </c>
      <c r="E14" s="123" t="s">
        <v>179</v>
      </c>
      <c r="F14" s="124" t="s">
        <v>180</v>
      </c>
      <c r="G14" s="1"/>
    </row>
    <row r="15" spans="1:7" x14ac:dyDescent="0.35">
      <c r="A15" s="1"/>
      <c r="B15" s="291"/>
      <c r="C15" s="293" t="s">
        <v>181</v>
      </c>
      <c r="D15" s="125" t="s">
        <v>182</v>
      </c>
      <c r="E15" s="293" t="s">
        <v>183</v>
      </c>
      <c r="F15" s="126" t="s">
        <v>184</v>
      </c>
      <c r="G15" s="1"/>
    </row>
    <row r="16" spans="1:7" x14ac:dyDescent="0.35">
      <c r="A16" s="1"/>
      <c r="B16" s="291"/>
      <c r="C16" s="293"/>
      <c r="D16" s="125" t="s">
        <v>185</v>
      </c>
      <c r="E16" s="293"/>
      <c r="F16" s="126" t="s">
        <v>184</v>
      </c>
      <c r="G16" s="1"/>
    </row>
    <row r="17" spans="1:7" x14ac:dyDescent="0.35">
      <c r="A17" s="1"/>
      <c r="B17" s="291"/>
      <c r="C17" s="293" t="s">
        <v>144</v>
      </c>
      <c r="D17" s="125" t="s">
        <v>186</v>
      </c>
      <c r="E17" s="293" t="s">
        <v>154</v>
      </c>
      <c r="F17" s="289">
        <v>6</v>
      </c>
      <c r="G17" s="1"/>
    </row>
    <row r="18" spans="1:7" x14ac:dyDescent="0.35">
      <c r="A18" s="1"/>
      <c r="B18" s="291"/>
      <c r="C18" s="293"/>
      <c r="D18" s="125" t="s">
        <v>187</v>
      </c>
      <c r="E18" s="293"/>
      <c r="F18" s="289"/>
      <c r="G18" s="1"/>
    </row>
    <row r="19" spans="1:7" x14ac:dyDescent="0.35">
      <c r="A19" s="1"/>
      <c r="B19" s="291"/>
      <c r="C19" s="293"/>
      <c r="D19" s="125" t="s">
        <v>188</v>
      </c>
      <c r="E19" s="293"/>
      <c r="F19" s="289"/>
      <c r="G19" s="1"/>
    </row>
    <row r="20" spans="1:7" x14ac:dyDescent="0.35">
      <c r="A20" s="1"/>
      <c r="B20" s="291"/>
      <c r="C20" s="293"/>
      <c r="D20" s="125" t="s">
        <v>189</v>
      </c>
      <c r="E20" s="293"/>
      <c r="F20" s="126">
        <v>2</v>
      </c>
      <c r="G20" s="1"/>
    </row>
    <row r="21" spans="1:7" x14ac:dyDescent="0.35">
      <c r="A21" s="1"/>
      <c r="B21" s="291"/>
      <c r="C21" s="133" t="s">
        <v>190</v>
      </c>
      <c r="D21" s="134" t="s">
        <v>191</v>
      </c>
      <c r="E21" s="134" t="s">
        <v>192</v>
      </c>
      <c r="F21" s="135">
        <v>1</v>
      </c>
      <c r="G21" s="1"/>
    </row>
    <row r="22" spans="1:7" x14ac:dyDescent="0.35">
      <c r="A22" s="1"/>
      <c r="B22" s="291"/>
      <c r="C22" s="133" t="s">
        <v>193</v>
      </c>
      <c r="D22" s="134" t="s">
        <v>194</v>
      </c>
      <c r="E22" s="134" t="s">
        <v>154</v>
      </c>
      <c r="F22" s="135">
        <v>1</v>
      </c>
      <c r="G22" s="1"/>
    </row>
    <row r="23" spans="1:7" x14ac:dyDescent="0.35">
      <c r="A23" s="1"/>
      <c r="B23" s="291"/>
      <c r="C23" s="133" t="s">
        <v>195</v>
      </c>
      <c r="D23" s="134" t="s">
        <v>196</v>
      </c>
      <c r="E23" s="134" t="s">
        <v>192</v>
      </c>
      <c r="F23" s="135">
        <v>1</v>
      </c>
      <c r="G23" s="1"/>
    </row>
    <row r="24" spans="1:7" x14ac:dyDescent="0.35">
      <c r="A24" s="1"/>
      <c r="B24" s="292"/>
      <c r="C24" s="136" t="s">
        <v>197</v>
      </c>
      <c r="D24" s="137" t="s">
        <v>198</v>
      </c>
      <c r="E24" s="137" t="s">
        <v>192</v>
      </c>
      <c r="F24" s="138">
        <v>3</v>
      </c>
      <c r="G24" s="1"/>
    </row>
    <row r="25" spans="1:7" ht="29" x14ac:dyDescent="0.35">
      <c r="A25" s="1"/>
      <c r="B25" s="290" t="s">
        <v>199</v>
      </c>
      <c r="C25" s="139" t="s">
        <v>171</v>
      </c>
      <c r="D25" s="123" t="s">
        <v>200</v>
      </c>
      <c r="E25" s="123" t="s">
        <v>154</v>
      </c>
      <c r="F25" s="124" t="s">
        <v>201</v>
      </c>
      <c r="G25" s="1"/>
    </row>
    <row r="26" spans="1:7" x14ac:dyDescent="0.35">
      <c r="A26" s="1"/>
      <c r="B26" s="291"/>
      <c r="C26" s="140" t="s">
        <v>202</v>
      </c>
      <c r="D26" s="140" t="s">
        <v>203</v>
      </c>
      <c r="E26" s="140" t="s">
        <v>154</v>
      </c>
      <c r="F26" s="141">
        <v>7</v>
      </c>
      <c r="G26" s="1"/>
    </row>
    <row r="27" spans="1:7" x14ac:dyDescent="0.35">
      <c r="A27" s="1"/>
      <c r="B27" s="291"/>
      <c r="C27" s="127" t="s">
        <v>204</v>
      </c>
      <c r="D27" s="125" t="s">
        <v>205</v>
      </c>
      <c r="E27" s="125" t="s">
        <v>154</v>
      </c>
      <c r="F27" s="126" t="s">
        <v>206</v>
      </c>
      <c r="G27" s="1"/>
    </row>
    <row r="28" spans="1:7" x14ac:dyDescent="0.35">
      <c r="A28" s="1"/>
      <c r="B28" s="291"/>
      <c r="C28" s="127" t="s">
        <v>207</v>
      </c>
      <c r="D28" s="125" t="s">
        <v>205</v>
      </c>
      <c r="E28" s="125" t="s">
        <v>154</v>
      </c>
      <c r="F28" s="126" t="s">
        <v>208</v>
      </c>
      <c r="G28" s="1"/>
    </row>
    <row r="29" spans="1:7" x14ac:dyDescent="0.35">
      <c r="A29" s="1"/>
      <c r="B29" s="291"/>
      <c r="C29" s="125" t="s">
        <v>209</v>
      </c>
      <c r="D29" s="125" t="s">
        <v>210</v>
      </c>
      <c r="E29" s="125" t="s">
        <v>154</v>
      </c>
      <c r="F29" s="126">
        <v>1</v>
      </c>
      <c r="G29" s="1"/>
    </row>
    <row r="30" spans="1:7" x14ac:dyDescent="0.35">
      <c r="A30" s="1"/>
      <c r="B30" s="291"/>
      <c r="C30" s="133" t="s">
        <v>177</v>
      </c>
      <c r="D30" s="134" t="s">
        <v>210</v>
      </c>
      <c r="E30" s="134" t="s">
        <v>154</v>
      </c>
      <c r="F30" s="135">
        <v>1</v>
      </c>
      <c r="G30" s="1"/>
    </row>
    <row r="31" spans="1:7" ht="29" x14ac:dyDescent="0.35">
      <c r="A31" s="1"/>
      <c r="B31" s="292"/>
      <c r="C31" s="136" t="s">
        <v>197</v>
      </c>
      <c r="D31" s="137" t="s">
        <v>211</v>
      </c>
      <c r="E31" s="137" t="s">
        <v>192</v>
      </c>
      <c r="F31" s="138" t="s">
        <v>212</v>
      </c>
      <c r="G31" s="1"/>
    </row>
    <row r="32" spans="1:7" ht="6" customHeight="1" x14ac:dyDescent="0.35">
      <c r="A32" s="1"/>
      <c r="B32" s="1"/>
      <c r="C32" s="1"/>
      <c r="D32" s="1"/>
      <c r="E32" s="1"/>
      <c r="F32" s="1"/>
      <c r="G32" s="1"/>
    </row>
    <row r="33" spans="1:7" x14ac:dyDescent="0.35">
      <c r="A33" s="1"/>
      <c r="B33" s="17" t="s">
        <v>213</v>
      </c>
      <c r="C33" s="1"/>
      <c r="D33" s="1"/>
      <c r="E33" s="1"/>
      <c r="F33" s="1"/>
      <c r="G33" s="1"/>
    </row>
  </sheetData>
  <mergeCells count="8">
    <mergeCell ref="F17:F19"/>
    <mergeCell ref="B25:B31"/>
    <mergeCell ref="B6:B13"/>
    <mergeCell ref="B14:B24"/>
    <mergeCell ref="C15:C16"/>
    <mergeCell ref="E15:E16"/>
    <mergeCell ref="C17:C20"/>
    <mergeCell ref="E17:E2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D571D-EBF1-4604-99BE-EAC1E0B134D4}">
  <dimension ref="A1:P20"/>
  <sheetViews>
    <sheetView zoomScaleNormal="100" workbookViewId="0">
      <selection activeCell="J22" sqref="J22"/>
    </sheetView>
  </sheetViews>
  <sheetFormatPr baseColWidth="10" defaultColWidth="11.453125" defaultRowHeight="14.5" x14ac:dyDescent="0.35"/>
  <cols>
    <col min="1" max="1" width="9.81640625" customWidth="1"/>
    <col min="2" max="2" width="25.81640625" customWidth="1"/>
    <col min="3" max="3" width="5.81640625" customWidth="1"/>
    <col min="4" max="4" width="45.81640625" customWidth="1"/>
    <col min="5" max="10" width="9.81640625" customWidth="1"/>
    <col min="14" max="14" width="25.453125" bestFit="1" customWidth="1"/>
    <col min="15" max="15" width="7.453125" bestFit="1" customWidth="1"/>
  </cols>
  <sheetData>
    <row r="1" spans="1:16" x14ac:dyDescent="0.35">
      <c r="A1" s="142" t="s">
        <v>214</v>
      </c>
      <c r="M1" t="s">
        <v>215</v>
      </c>
    </row>
    <row r="2" spans="1:16" x14ac:dyDescent="0.35">
      <c r="E2" s="294" t="s">
        <v>216</v>
      </c>
      <c r="F2" s="295"/>
      <c r="G2" s="294" t="s">
        <v>217</v>
      </c>
      <c r="H2" s="295"/>
      <c r="I2" s="294" t="s">
        <v>218</v>
      </c>
      <c r="J2" s="294"/>
      <c r="M2" s="143" t="s">
        <v>219</v>
      </c>
      <c r="N2" s="144"/>
      <c r="O2" s="143" t="s">
        <v>64</v>
      </c>
      <c r="P2" s="144"/>
    </row>
    <row r="3" spans="1:16" ht="15" thickBot="1" x14ac:dyDescent="0.4">
      <c r="A3" s="145" t="s">
        <v>220</v>
      </c>
      <c r="B3" s="145" t="s">
        <v>221</v>
      </c>
      <c r="C3" s="296" t="s">
        <v>222</v>
      </c>
      <c r="D3" s="296"/>
      <c r="E3" s="146" t="s">
        <v>223</v>
      </c>
      <c r="F3" s="146" t="s">
        <v>224</v>
      </c>
      <c r="G3" s="146" t="s">
        <v>223</v>
      </c>
      <c r="H3" s="147" t="s">
        <v>224</v>
      </c>
      <c r="I3" s="146" t="s">
        <v>223</v>
      </c>
      <c r="J3" s="146" t="s">
        <v>224</v>
      </c>
      <c r="M3" s="148" t="s">
        <v>225</v>
      </c>
      <c r="N3" s="148" t="s">
        <v>226</v>
      </c>
      <c r="O3" s="149">
        <v>2019</v>
      </c>
      <c r="P3" s="149">
        <v>2020</v>
      </c>
    </row>
    <row r="4" spans="1:16" x14ac:dyDescent="0.35">
      <c r="A4" s="150">
        <v>2019</v>
      </c>
      <c r="B4" s="150" t="s">
        <v>227</v>
      </c>
      <c r="C4" s="150">
        <v>85</v>
      </c>
      <c r="D4" s="150" t="s">
        <v>228</v>
      </c>
      <c r="E4" s="151">
        <v>77</v>
      </c>
      <c r="F4" s="151"/>
      <c r="G4" s="151"/>
      <c r="H4" s="152"/>
      <c r="I4" s="151"/>
      <c r="J4" s="151"/>
      <c r="M4" s="153" t="s">
        <v>229</v>
      </c>
      <c r="N4" s="154" t="s">
        <v>230</v>
      </c>
      <c r="O4" s="155">
        <v>991</v>
      </c>
      <c r="P4" s="156">
        <v>2324</v>
      </c>
    </row>
    <row r="5" spans="1:16" x14ac:dyDescent="0.35">
      <c r="A5" s="150">
        <v>2019</v>
      </c>
      <c r="B5" s="150" t="s">
        <v>231</v>
      </c>
      <c r="C5" s="150">
        <v>62</v>
      </c>
      <c r="D5" s="150" t="s">
        <v>232</v>
      </c>
      <c r="E5" s="151">
        <v>28203.5</v>
      </c>
      <c r="F5" s="151">
        <v>1805</v>
      </c>
      <c r="G5" s="151">
        <v>29432</v>
      </c>
      <c r="H5" s="152">
        <v>1942</v>
      </c>
      <c r="I5" s="151">
        <v>248</v>
      </c>
      <c r="J5" s="151">
        <v>54</v>
      </c>
      <c r="K5" s="157">
        <f>SUM(E5:J5)</f>
        <v>61684.5</v>
      </c>
      <c r="M5" s="158"/>
      <c r="N5" s="154" t="s">
        <v>233</v>
      </c>
      <c r="O5" s="159">
        <v>5707</v>
      </c>
      <c r="P5" s="158"/>
    </row>
    <row r="6" spans="1:16" x14ac:dyDescent="0.35">
      <c r="A6" s="150">
        <v>2019</v>
      </c>
      <c r="B6" s="150" t="s">
        <v>231</v>
      </c>
      <c r="C6" s="150">
        <v>94</v>
      </c>
      <c r="D6" s="150" t="s">
        <v>234</v>
      </c>
      <c r="E6" s="151">
        <v>2763</v>
      </c>
      <c r="F6" s="151">
        <v>238</v>
      </c>
      <c r="G6" s="151">
        <v>1602</v>
      </c>
      <c r="H6" s="152">
        <v>21</v>
      </c>
      <c r="I6" s="151"/>
      <c r="J6" s="151"/>
      <c r="M6" s="158"/>
      <c r="N6" s="154" t="s">
        <v>235</v>
      </c>
      <c r="O6" s="159">
        <v>31247</v>
      </c>
      <c r="P6" s="156">
        <v>28809</v>
      </c>
    </row>
    <row r="7" spans="1:16" x14ac:dyDescent="0.35">
      <c r="A7" s="150">
        <v>2019</v>
      </c>
      <c r="B7" s="150" t="s">
        <v>231</v>
      </c>
      <c r="C7" s="150">
        <v>197</v>
      </c>
      <c r="D7" s="150" t="s">
        <v>236</v>
      </c>
      <c r="E7" s="151">
        <v>78</v>
      </c>
      <c r="F7" s="151">
        <v>2</v>
      </c>
      <c r="G7" s="151">
        <v>79</v>
      </c>
      <c r="H7" s="152">
        <v>1</v>
      </c>
      <c r="I7" s="151"/>
      <c r="J7" s="151"/>
      <c r="M7" s="158"/>
      <c r="N7" s="154" t="s">
        <v>237</v>
      </c>
      <c r="O7" s="159">
        <v>18841</v>
      </c>
      <c r="P7" s="156">
        <v>17819</v>
      </c>
    </row>
    <row r="8" spans="1:16" ht="15" thickBot="1" x14ac:dyDescent="0.4">
      <c r="A8" s="150">
        <v>2019</v>
      </c>
      <c r="B8" s="150" t="s">
        <v>231</v>
      </c>
      <c r="C8" s="150">
        <v>318</v>
      </c>
      <c r="D8" s="150" t="s">
        <v>238</v>
      </c>
      <c r="E8" s="151">
        <v>90</v>
      </c>
      <c r="F8" s="151">
        <v>1</v>
      </c>
      <c r="G8" s="151"/>
      <c r="H8" s="152"/>
      <c r="I8" s="151"/>
      <c r="J8" s="151"/>
      <c r="M8" s="160"/>
      <c r="N8" s="154" t="s">
        <v>239</v>
      </c>
      <c r="O8" s="159">
        <v>22562</v>
      </c>
      <c r="P8" s="156">
        <v>22335</v>
      </c>
    </row>
    <row r="9" spans="1:16" ht="15" thickBot="1" x14ac:dyDescent="0.4">
      <c r="A9" s="150">
        <v>2019</v>
      </c>
      <c r="B9" s="150" t="s">
        <v>231</v>
      </c>
      <c r="C9" s="150">
        <v>318</v>
      </c>
      <c r="D9" s="150" t="s">
        <v>238</v>
      </c>
      <c r="E9" s="151">
        <v>38814</v>
      </c>
      <c r="F9" s="151">
        <v>791</v>
      </c>
      <c r="G9" s="151">
        <v>33551</v>
      </c>
      <c r="H9" s="152">
        <v>3396</v>
      </c>
      <c r="I9" s="151">
        <v>2396</v>
      </c>
      <c r="J9" s="151">
        <v>455</v>
      </c>
      <c r="K9" s="157">
        <f>SUM(E9:J9)</f>
        <v>79403</v>
      </c>
      <c r="M9" s="161" t="s">
        <v>240</v>
      </c>
      <c r="N9" s="162"/>
      <c r="O9" s="163">
        <v>79348</v>
      </c>
      <c r="P9" s="163">
        <v>71287</v>
      </c>
    </row>
    <row r="10" spans="1:16" x14ac:dyDescent="0.35">
      <c r="A10" s="150">
        <v>2019</v>
      </c>
      <c r="B10" s="150" t="s">
        <v>241</v>
      </c>
      <c r="C10" s="150">
        <v>21</v>
      </c>
      <c r="D10" s="150" t="s">
        <v>242</v>
      </c>
      <c r="E10" s="151"/>
      <c r="F10" s="151"/>
      <c r="G10" s="151">
        <v>127</v>
      </c>
      <c r="H10" s="152">
        <v>19</v>
      </c>
      <c r="I10" s="151"/>
      <c r="J10" s="151"/>
      <c r="M10" s="153" t="s">
        <v>243</v>
      </c>
      <c r="N10" s="154" t="s">
        <v>230</v>
      </c>
      <c r="O10" s="159">
        <v>1536</v>
      </c>
      <c r="P10" s="156">
        <v>3175</v>
      </c>
    </row>
    <row r="11" spans="1:16" x14ac:dyDescent="0.35">
      <c r="A11" s="150">
        <v>2019</v>
      </c>
      <c r="B11" s="150" t="s">
        <v>241</v>
      </c>
      <c r="C11" s="150">
        <v>29</v>
      </c>
      <c r="D11" s="150" t="s">
        <v>244</v>
      </c>
      <c r="E11" s="151">
        <v>1277</v>
      </c>
      <c r="F11" s="151">
        <v>180</v>
      </c>
      <c r="G11" s="151">
        <v>1117</v>
      </c>
      <c r="H11" s="152">
        <v>161</v>
      </c>
      <c r="I11" s="151"/>
      <c r="J11" s="151"/>
      <c r="M11" s="158"/>
      <c r="N11" s="154" t="s">
        <v>233</v>
      </c>
      <c r="O11" s="159">
        <v>6688</v>
      </c>
      <c r="P11" s="164">
        <v>9</v>
      </c>
    </row>
    <row r="12" spans="1:16" x14ac:dyDescent="0.35">
      <c r="A12" s="165">
        <v>2020</v>
      </c>
      <c r="B12" s="165" t="s">
        <v>227</v>
      </c>
      <c r="C12" s="165">
        <v>85</v>
      </c>
      <c r="D12" s="165" t="s">
        <v>245</v>
      </c>
      <c r="E12" s="166">
        <v>18</v>
      </c>
      <c r="F12" s="166"/>
      <c r="G12" s="166"/>
      <c r="H12" s="167"/>
      <c r="I12" s="166">
        <v>28</v>
      </c>
      <c r="J12" s="166"/>
      <c r="M12" s="158"/>
      <c r="N12" s="154" t="s">
        <v>235</v>
      </c>
      <c r="O12" s="159">
        <v>28780</v>
      </c>
      <c r="P12" s="156">
        <v>26272</v>
      </c>
    </row>
    <row r="13" spans="1:16" x14ac:dyDescent="0.35">
      <c r="A13" s="165">
        <v>2020</v>
      </c>
      <c r="B13" s="165" t="s">
        <v>231</v>
      </c>
      <c r="C13" s="165">
        <v>62</v>
      </c>
      <c r="D13" s="165" t="s">
        <v>232</v>
      </c>
      <c r="E13" s="166">
        <v>21784</v>
      </c>
      <c r="F13" s="166">
        <v>1456</v>
      </c>
      <c r="G13" s="166">
        <v>22860</v>
      </c>
      <c r="H13" s="167">
        <v>1422</v>
      </c>
      <c r="I13" s="166">
        <v>237</v>
      </c>
      <c r="J13" s="166">
        <v>339</v>
      </c>
      <c r="M13" s="158"/>
      <c r="N13" s="154" t="s">
        <v>246</v>
      </c>
      <c r="O13" s="155">
        <v>1</v>
      </c>
      <c r="P13" s="158"/>
    </row>
    <row r="14" spans="1:16" x14ac:dyDescent="0.35">
      <c r="A14" s="165">
        <v>2020</v>
      </c>
      <c r="B14" s="165" t="s">
        <v>231</v>
      </c>
      <c r="C14" s="165">
        <v>94</v>
      </c>
      <c r="D14" s="165" t="s">
        <v>234</v>
      </c>
      <c r="E14" s="166">
        <v>2074</v>
      </c>
      <c r="F14" s="166">
        <v>126</v>
      </c>
      <c r="G14" s="166">
        <v>1549</v>
      </c>
      <c r="H14" s="167">
        <v>86</v>
      </c>
      <c r="I14" s="166">
        <v>71</v>
      </c>
      <c r="J14" s="166">
        <v>18</v>
      </c>
      <c r="M14" s="158"/>
      <c r="N14" s="154" t="s">
        <v>237</v>
      </c>
      <c r="O14" s="159">
        <v>18100</v>
      </c>
      <c r="P14" s="156">
        <v>17804</v>
      </c>
    </row>
    <row r="15" spans="1:16" ht="15" thickBot="1" x14ac:dyDescent="0.4">
      <c r="A15" s="165">
        <v>2020</v>
      </c>
      <c r="B15" s="165" t="s">
        <v>231</v>
      </c>
      <c r="C15" s="165">
        <v>318</v>
      </c>
      <c r="D15" s="165" t="s">
        <v>238</v>
      </c>
      <c r="E15" s="166">
        <v>104</v>
      </c>
      <c r="F15" s="166"/>
      <c r="G15" s="166"/>
      <c r="H15" s="167"/>
      <c r="I15" s="166">
        <v>66</v>
      </c>
      <c r="J15" s="166"/>
      <c r="M15" s="160"/>
      <c r="N15" s="154" t="s">
        <v>239</v>
      </c>
      <c r="O15" s="159">
        <v>23334</v>
      </c>
      <c r="P15" s="156">
        <v>23183</v>
      </c>
    </row>
    <row r="16" spans="1:16" ht="15" thickBot="1" x14ac:dyDescent="0.4">
      <c r="A16" s="165">
        <v>2020</v>
      </c>
      <c r="B16" s="165" t="s">
        <v>231</v>
      </c>
      <c r="C16" s="165">
        <v>318</v>
      </c>
      <c r="D16" s="165" t="s">
        <v>238</v>
      </c>
      <c r="E16" s="166">
        <v>37751</v>
      </c>
      <c r="F16" s="166">
        <v>918</v>
      </c>
      <c r="G16" s="166">
        <v>28059</v>
      </c>
      <c r="H16" s="167">
        <v>5662</v>
      </c>
      <c r="I16" s="166">
        <v>8751</v>
      </c>
      <c r="J16" s="166">
        <v>1633</v>
      </c>
      <c r="M16" s="161" t="s">
        <v>247</v>
      </c>
      <c r="N16" s="162"/>
      <c r="O16" s="163">
        <v>78439</v>
      </c>
      <c r="P16" s="163">
        <v>70443</v>
      </c>
    </row>
    <row r="17" spans="1:16" x14ac:dyDescent="0.35">
      <c r="A17" s="165">
        <v>2020</v>
      </c>
      <c r="B17" s="165" t="s">
        <v>241</v>
      </c>
      <c r="C17" s="165">
        <v>21</v>
      </c>
      <c r="D17" s="165" t="s">
        <v>242</v>
      </c>
      <c r="E17" s="166"/>
      <c r="F17" s="166"/>
      <c r="G17" s="166">
        <v>27</v>
      </c>
      <c r="H17" s="167">
        <v>1</v>
      </c>
      <c r="I17" s="166"/>
      <c r="J17" s="166"/>
      <c r="M17" s="143" t="s">
        <v>248</v>
      </c>
      <c r="N17" s="144"/>
      <c r="O17" s="168">
        <v>157787</v>
      </c>
      <c r="P17" s="168">
        <v>141730</v>
      </c>
    </row>
    <row r="18" spans="1:16" x14ac:dyDescent="0.35">
      <c r="A18" s="165">
        <v>2020</v>
      </c>
      <c r="B18" s="165" t="s">
        <v>241</v>
      </c>
      <c r="C18" s="165">
        <v>29</v>
      </c>
      <c r="D18" s="165" t="s">
        <v>244</v>
      </c>
      <c r="E18" s="166">
        <v>554</v>
      </c>
      <c r="F18" s="166">
        <v>170</v>
      </c>
      <c r="G18" s="166">
        <v>1072</v>
      </c>
      <c r="H18" s="167">
        <v>193</v>
      </c>
      <c r="I18" s="166"/>
      <c r="J18" s="166"/>
    </row>
    <row r="19" spans="1:16" x14ac:dyDescent="0.35">
      <c r="N19" s="154" t="s">
        <v>235</v>
      </c>
      <c r="O19" s="116">
        <f>O6+O12</f>
        <v>60027</v>
      </c>
    </row>
    <row r="20" spans="1:16" x14ac:dyDescent="0.35">
      <c r="N20" s="154" t="s">
        <v>237</v>
      </c>
      <c r="O20" s="116">
        <f>O7+O14</f>
        <v>36941</v>
      </c>
    </row>
  </sheetData>
  <mergeCells count="4">
    <mergeCell ref="E2:F2"/>
    <mergeCell ref="G2:H2"/>
    <mergeCell ref="I2:J2"/>
    <mergeCell ref="C3:D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7 2 a 4 1 4 5 c - 9 1 7 0 - 4 f 0 c - a 9 a b - 7 7 6 f e 7 4 b 9 a 6 a "   x m l n s = " h t t p : / / s c h e m a s . m i c r o s o f t . c o m / D a t a M a s h u p " > A A A A A F s F A A B Q S w M E F A A C A A g A 8 X F 6 U l B v 8 Z + k A A A A 9 Q A A A B I A H A B D b 2 5 m a W c v U G F j a 2 F n Z S 5 4 b W w g o h g A K K A U A A A A A A A A A A A A A A A A A A A A A A A A A A A A h Y 8 x D o I w G I W v Q r r T l h o T J D 9 l M G 6 S m J A Y 1 6 Z U a I R i a L H c z c E j e Q U x i r o 5 v u 9 9 w 3 v 3 6 w 2 y s W 2 C i + q t 7 k y K I k x R o I z s S m 2 q F A 3 u G M Y o 4 7 A T 8 i Q q F U y y s c l o y x T V z p 0 T Q r z 3 2 C 9 w 1 1 e E U R q R Q 7 4 t Z K 1 a g T 6 y / i + H 2 l g n j F S I w / 4 1 h j O 8 o n g Z M 0 y B z A x y b b 4 9 m + Y + 2 x 8 I 6 6 F x Q 6 + 4 s u G m A D J H I O 8 L / A F Q S w M E F A A C A A g A 8 X F 6 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F x e l J 6 8 J z I V Q I A A E I H A A A T A B w A R m 9 y b X V s Y X M v U 2 V j d G l v b j E u b S C i G A A o o B Q A A A A A A A A A A A A A A A A A A A A A A A A A A A D N l M 1 u 0 0 A Q x + + R 8 g 4 r 9 + J I K 9 O 0 o g d Q D s Z J R V D V F N u t k G q E 1 p t p W d i P a H c d N a 1 y 4 X l 4 K p 6 E c R O S t n F a K B z w w R + z f 8 / 8 Z j 1 / O + B e G E 2 y x b X 7 u t 1 q t 9 x n Z m F M x s w z 0 i M S f L t F 8 B h Z c Q k a I 4 m b R n 3 D K w X a h 4 d C Q p Q Y 7 f H B h U H y q j h 1 Y F 3 B m Z W m 6 F s z K c 1 V k b 1 J y O B D n s b H g 7 x I 4 q P k 9 C j u j 1 J y O E j T 0 d k w T o e j 4 j D O B m Q 4 L D K h K s l 4 j X V i w V W T C p w 3 R Y 0 T c T c N O v S 8 D 1 I o 4 c H 2 A h p Q k h h Z K e 1 6 B 5 Q M N D d j o S 9 7 B y 9 3 d 7 u U v K + M h 8 z P J P T W t 9 G x 0 f C x Q x d 9 7 Q T 4 E i v h m o 2 N I x N r l J k K v A 2 w 1 Z y V K D + p Y x 7 e A h t j a + F i I y g 5 X 8 Z j K T P O J L O u 5 2 1 1 N / E C j B E k Y k p g A X Y n q Z g a H 2 4 t T s m R c D 7 q 4 0 l o / o j w f C e I J W 6 F Z l 5 M G R l q j l 8 C c w f I Q b Y s 4 c L q g Y Q / v n 3 v B G v o M y a N J R Z A T S S r y 6 2 Z U 8 A Q B 1 R U E D a 2 R 4 O o / i Q B X U r t r 3 d y u P L 0 J s g t K 9 k X L O q / q k 7 N M b g Q X I D m g j 2 g 4 o j 1 4 l Y 1 X 7 P l Y m I I Z 6 o U 9 7 g w q 3 Y X x q o F U T 6 b g A u b O q E 3 N / c r e p Q S X a k S 7 J y S T b 6 H 6 4 2 A m 7 K 7 2 9 6 t J 7 S y F k v O o h p t Q 7 H 3 p G J / Q z H v t F t C N + / L Q x f v P d / G 7 y o p m F 7 5 + P n W 3 f t U z y y M h X F P u L i 7 / 5 / a 2 B G O j W m j S g s N Q 5 g C u g C W X T x i b B z B r F L E X J A t w 7 T F B f O / s G g z + l N m 3 c a 3 Y W I M o K n q w D 9 3 6 2 8 a 7 g 9 8 e / u 7 a 8 y w 6 u H + 6 q N W + w l Q S w E C L Q A U A A I A C A D x c X p S U G / x n 6 Q A A A D 1 A A A A E g A A A A A A A A A A A A A A A A A A A A A A Q 2 9 u Z m l n L 1 B h Y 2 t h Z 2 U u e G 1 s U E s B A i 0 A F A A C A A g A 8 X F 6 U g / K 6 a u k A A A A 6 Q A A A B M A A A A A A A A A A A A A A A A A 8 A A A A F t D b 2 5 0 Z W 5 0 X 1 R 5 c G V z X S 5 4 b W x Q S w E C L Q A U A A I A C A D x c X p S e v C c y F U C A A B C B w A A E w A A A A A A A A A A A A A A A A D h A Q A A R m 9 y b X V s Y X M v U 2 V j d G l v b j E u b V B L B Q Y A A A A A A w A D A M I A A A C D 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d G w A A A A A A A D s 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Z G F 0 Y 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T m F t Z V V w Z G F 0 Z W R B Z n R l c k Z p b G w i I F Z h b H V l P S J s M C I g L z 4 8 R W 5 0 c n k g V H l w Z T 0 i T m F 2 a W d h d G l v b l N 0 Z X B O Y W 1 l I i B W Y W x 1 Z T 0 i c 0 5 h d m V n Y W N p w 7 N u I i A v P j x F b n R y e S B U e X B l P S J G a W x s Z W R D b 2 1 w b G V 0 Z V J l c 3 V s d F R v V 2 9 y a 3 N o Z W V 0 I i B W Y W x 1 Z T 0 i b D A i I C 8 + P E V u d H J 5 I F R 5 c G U 9 I k F k Z G V k V G 9 E Y X R h T W 9 k Z W w i I F Z h b H V l P S J s M C I g L z 4 8 R W 5 0 c n k g V H l w Z T 0 i R m l s b E V y c m 9 y Q 2 9 k Z S I g V m F s d W U 9 I n N V b m t u b 3 d u I i A v P j x F b n R y e S B U e X B l P S J G a W x s T G F z d F V w Z G F 0 Z W Q i I F Z h b H V l P S J k M j A y M S 0 w M y 0 x N V Q x N j o 1 M T o 1 N y 4 3 N z M x O D U x W i I g L z 4 8 R W 5 0 c n k g V H l w Z T 0 i R m l s b E N v b H V t b l R 5 c G V z I i B W Y W x 1 Z T 0 i c 0 J n V U Z C U k V S R V E 9 P S I g L z 4 8 R W 5 0 c n k g V H l w Z T 0 i R m l s b E N v b H V t b k 5 h b W V z I i B W Y W x 1 Z T 0 i c 1 s m c X V v d D t L Z X l f S W 5 j Z W 5 0 a X Z v J n F 1 b 3 Q 7 L C Z x d W 9 0 O 1 R y Y W J h a m 8 g K H R r b S k m c X V v d D s s J n F 1 b 3 Q 7 R W Z p Y 2 l l b m N p Y S Z x d W 9 0 O y w m c X V v d D t J b m N l b n R p d m 8 g K G P i g q w v d G t t K S Z x d W 9 0 O y w m c X V v d D t B b H R l c m 5 h d G l 2 Y S A x J n F 1 b 3 Q 7 L C Z x d W 9 0 O 0 F s d G V y b m F 0 a X Z h I D I m c X V v d D s s J n F 1 b 3 Q 7 Q W x 0 Z X J u Y X R p d m E g M y Z x d W 9 0 O 1 0 i I C 8 + P E V u d H J 5 I F R 5 c G U 9 I k Z p b G x T d G F 0 d X M i I F Z h b H V l P S J z Q 2 9 t c G x l d G U i I C 8 + P E V u d H J 5 I F R 5 c G U 9 I l F 1 Z X J 5 S U Q i I F Z h b H V l P S J z Y j U 3 O W Q 4 N D A t M T k 3 Z C 0 0 Y z B k L W E x M j M t N j k 1 M 2 Q 1 O T R k M G E 0 I i A v P j x F b n R y e S B U e X B l P S J S Z W x h d G l v b n N o a X B J b m Z v Q 2 9 u d G F p b m V y I i B W Y W x 1 Z T 0 i c 3 s m c X V v d D t j b 2 x 1 b W 5 D b 3 V u d C Z x d W 9 0 O z o 3 L C Z x d W 9 0 O 2 t l e U N v b H V t b k 5 h b W V z J n F 1 b 3 Q 7 O l t d L C Z x d W 9 0 O 3 F 1 Z X J 5 U m V s Y X R p b 2 5 z a G l w c y Z x d W 9 0 O z p b X S w m c X V v d D t j b 2 x 1 b W 5 J Z G V u d G l 0 a W V z J n F 1 b 3 Q 7 O l s m c X V v d D t T Z W N 0 a W 9 u M S 9 k Y X R h L 0 N v b H V t b m E g Z G l u Y W 1 p e m F k Y S 5 7 S 2 V 5 X 0 l u Y 2 V u d G l 2 b y w w f S Z x d W 9 0 O y w m c X V v d D t T Z W N 0 a W 9 u M S 9 k Y X R h L 1 R p c G 8 g Y 2 F t Y m l h Z G 8 u e 1 R y Y W J h a m 8 g K H R r b S k s M X 0 m c X V v d D s s J n F 1 b 3 Q 7 U 2 V j d G l v b j E v Z G F 0 Y S 9 U a X B v I G N h b W J p Y W R v L n t F Z m l j a W V u Y 2 l h L D J 9 J n F 1 b 3 Q 7 L C Z x d W 9 0 O 1 N l Y 3 R p b 2 4 x L 2 R h d G E v V G l w b y B j Y W 1 i a W F k b y 5 7 S W 5 j Z W 5 0 a X Z v I C h j 4 o K s L 3 R r b S k s M 3 0 m c X V v d D s s J n F 1 b 3 Q 7 U 2 V j d G l v b j E v Z G F 0 Y S 9 U a X B v I G N h b W J p Y W R v L n t B b H R l c m 5 h d G l 2 Y S A x L D R 9 J n F 1 b 3 Q 7 L C Z x d W 9 0 O 1 N l Y 3 R p b 2 4 x L 2 R h d G E v V G l w b y B j Y W 1 i a W F k b y 5 7 Q W x 0 Z X J u Y X R p d m E g M i w 1 f S Z x d W 9 0 O y w m c X V v d D t T Z W N 0 a W 9 u M S 9 k Y X R h L 1 R p c G 8 g Y 2 F t Y m l h Z G 8 u e 0 F s d G V y b m F 0 a X Z h I D M s N n 0 m c X V v d D t d L C Z x d W 9 0 O 0 N v b H V t b k N v d W 5 0 J n F 1 b 3 Q 7 O j c s J n F 1 b 3 Q 7 S 2 V 5 Q 2 9 s d W 1 u T m F t Z X M m c X V v d D s 6 W 1 0 s J n F 1 b 3 Q 7 Q 2 9 s d W 1 u S W R l b n R p d G l l c y Z x d W 9 0 O z p b J n F 1 b 3 Q 7 U 2 V j d G l v b j E v Z G F 0 Y S 9 D b 2 x 1 b W 5 h I G R p b m F t a X p h Z G E u e 0 t l e V 9 J b m N l b n R p d m 8 s M H 0 m c X V v d D s s J n F 1 b 3 Q 7 U 2 V j d G l v b j E v Z G F 0 Y S 9 U a X B v I G N h b W J p Y W R v L n t U c m F i Y W p v I C h 0 a 2 0 p L D F 9 J n F 1 b 3 Q 7 L C Z x d W 9 0 O 1 N l Y 3 R p b 2 4 x L 2 R h d G E v V G l w b y B j Y W 1 i a W F k b y 5 7 R W Z p Y 2 l l b m N p Y S w y f S Z x d W 9 0 O y w m c X V v d D t T Z W N 0 a W 9 u M S 9 k Y X R h L 1 R p c G 8 g Y 2 F t Y m l h Z G 8 u e 0 l u Y 2 V u d G l 2 b y A o Y + K C r C 9 0 a 2 0 p L D N 9 J n F 1 b 3 Q 7 L C Z x d W 9 0 O 1 N l Y 3 R p b 2 4 x L 2 R h d G E v V G l w b y B j Y W 1 i a W F k b y 5 7 Q W x 0 Z X J u Y X R p d m E g M S w 0 f S Z x d W 9 0 O y w m c X V v d D t T Z W N 0 a W 9 u M S 9 k Y X R h L 1 R p c G 8 g Y 2 F t Y m l h Z G 8 u e 0 F s d G V y b m F 0 a X Z h I D I s N X 0 m c X V v d D s s J n F 1 b 3 Q 7 U 2 V j d G l v b j E v Z G F 0 Y S 9 U a X B v I G N h b W J p Y W R v L n t B b H R l c m 5 h d G l 2 Y S A z L D Z 9 J n F 1 b 3 Q 7 X S w m c X V v d D t S Z W x h d G l v b n N o a X B J b m Z v J n F 1 b 3 Q 7 O l t d f S I g L z 4 8 L 1 N 0 Y W J s Z U V u d H J p Z X M + P C 9 J d G V t P j x J d G V t P j x J d G V t T G 9 j Y X R p b 2 4 + P E l 0 Z W 1 U e X B l P k Z v c m 1 1 b G E 8 L 0 l 0 Z W 1 U e X B l P j x J d G V t U G F 0 a D 5 T Z W N 0 a W 9 u M S 9 k Y X R h L 0 9 y a W d l b j w v S X R l b V B h d G g + P C 9 J d G V t T G 9 j Y X R p b 2 4 + P F N 0 Y W J s Z U V u d H J p Z X M g L z 4 8 L 0 l 0 Z W 0 + P E l 0 Z W 0 + P E l 0 Z W 1 M b 2 N h d G l v b j 4 8 S X R l b V R 5 c G U + R m 9 y b X V s Y T w v S X R l b V R 5 c G U + P E l 0 Z W 1 Q Y X R o P l N l Y 3 R p b 2 4 x L 2 R h d G E v R W 5 j Y W J l e m F k b 3 M l M j B w c m 9 t b 3 Z p Z G 9 z P C 9 J d G V t U G F 0 a D 4 8 L 0 l 0 Z W 1 M b 2 N h d G l v b j 4 8 U 3 R h Y m x l R W 5 0 c m l l c y A v P j w v S X R l b T 4 8 S X R l b T 4 8 S X R l b U x v Y 2 F 0 a W 9 u P j x J d G V t V H l w Z T 5 G b 3 J t d W x h P C 9 J d G V t V H l w Z T 4 8 S X R l b V B h d G g + U 2 V j d G l v b j E v Z G F 0 Y S 9 D b 2 x 1 b W 5 h J T I w Z G l u Y W 1 p e m F k Y T w v S X R l b V B h d G g + P C 9 J d G V t T G 9 j Y X R p b 2 4 + P F N 0 Y W J s Z U V u d H J p Z X M g L z 4 8 L 0 l 0 Z W 0 + P E l 0 Z W 0 + P E l 0 Z W 1 M b 2 N h d G l v b j 4 8 S X R l b V R 5 c G U + R m 9 y b X V s Y T w v S X R l b V R 5 c G U + P E l 0 Z W 1 Q Y X R o P l N l Y 3 R p b 2 4 x L 2 R h d G E v V m F s b 3 I l M j B y Z W V t c G x h e m F k b z w v S X R l b V B h d G g + P C 9 J d G V t T G 9 j Y X R p b 2 4 + P F N 0 Y W J s Z U V u d H J p Z X M g L z 4 8 L 0 l 0 Z W 0 + P E l 0 Z W 0 + P E l 0 Z W 1 M b 2 N h d G l v b j 4 8 S X R l b V R 5 c G U + R m 9 y b X V s Y T w v S X R l b V R 5 c G U + P E l 0 Z W 1 Q Y X R o P l N l Y 3 R p b 2 4 x L 2 R h d G E v V G l w b y U y M G N h b W J p Y W R v P C 9 J d G V t U G F 0 a D 4 8 L 0 l 0 Z W 1 M b 2 N h d G l v b j 4 8 U 3 R h Y m x l R W 5 0 c m l l c y A v P j w v S X R l b T 4 8 S X R l b T 4 8 S X R l b U x v Y 2 F 0 a W 9 u P j x J d G V t V H l w Z T 5 G b 3 J t d W x h P C 9 J d G V t V H l w Z T 4 8 S X R l b V B h d G g + U 2 V j d G l v b j E v Z G F 0 Y T 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l F 1 Z X J 5 S U Q i I F Z h b H V l P S J z M G J h N j J l O D g t N D Q 4 Z i 0 0 M G M z L T k w N 2 Q t N W I 0 N m Y y O D g 2 O D Y 4 I i A v P j x F b n R y e S B U e X B l P S J G a W x s R X J y b 3 J D b 3 V u d C I g V m F s d W U 9 I m w w I i A v P j x F b n R y e S B U e X B l P S J G a W x s R X J y b 3 J D b 2 R l I i B W Y W x 1 Z T 0 i c 1 V u a 2 5 v d 2 4 i I C 8 + P E V u d H J 5 I F R 5 c G U 9 I k Z p b G x M Y X N 0 V X B k Y X R l Z C I g V m F s d W U 9 I m Q y M D I x L T A z L T E 4 V D E 2 O j I y O j A y L j A 4 M D Q 0 N z d a I i A v P j x F b n R y e S B U e X B l P S J G a W x s Q 2 9 s d W 1 u V H l w Z X M i I F Z h b H V l P S J z Q m d Z R 0 J n W U d C Z 1 l G Q l F V R k J n P T 0 i I C 8 + P E V u d H J 5 I F R 5 c G U 9 I k Z p b G x D b 2 x 1 b W 5 O Y W 1 l c y I g V m F s d W U 9 I n N b J n F 1 b 3 Q 7 a 2 V 5 M i Z x d W 9 0 O y w m c X V v d D t B b H R l c m 5 h d G l 2 Y S B J b m N l b n R p d m 8 m c X V v d D s s J n F 1 b 3 Q 7 V G l w b y B N Y X F 1 a W 5 h J n F 1 b 3 Q 7 L C Z x d W 9 0 O 1 R p c G 8 g T G l u Z W E m c X V v d D s s J n F 1 b 3 Q 7 T W V y Y 2 F u Y 8 O t Y S A o Z 3 J v d X B z K S Z x d W 9 0 O y w m c X V v d D t N Z X J j Y W 5 j w 6 1 h J n F 1 b 3 Q 7 L C Z x d W 9 0 O 0 9 w Z X J h Z G 9 y J n F 1 b 3 Q 7 L C Z x d W 9 0 O 1 J l b G F j a c O z b i B J b n R l c n B y b 3 Z p b m N p Y W w m c X V v d D s s J n F 1 b 3 Q 7 S W 5 j Z W 5 0 a X Z v I C h j 4 o K s L 3 R r b S k m c X V v d D s s J n F 1 b 3 Q 7 V H J h Y m F q b y A o d G t t K S Z x d W 9 0 O y w m c X V v d D t J b m N l b n R p d m 8 g K O K C r C k m c X V v d D s s J n F 1 b 3 Q 7 V H J h Z m l j b y A o d C k m c X V v d D s s J n F 1 b 3 Q 7 T 3 B l c m F k b 3 I g K G d y d X B v c y k m c X V v d D t d I i A v P j x F b n R y e S B U e X B l P S J G a W x s Q 2 9 1 b n Q i I F Z h b H V l P S J s M T g 5 N i I g L z 4 8 R W 5 0 c n k g V H l w Z T 0 i R m l s b F N 0 Y X R 1 c y I g V m F s d W U 9 I n N D b 2 1 w b G V 0 Z S I g L z 4 8 R W 5 0 c n k g V H l w Z T 0 i Q W R k Z W R U b 0 R h d G F N b 2 R l b C I g V m F s d W U 9 I m w w I i A v P j x F b n R y e S B U e X B l P S J S Z W x h d G l v b n N o a X B J b m Z v Q 2 9 u d G F p b m V y I i B W Y W x 1 Z T 0 i c 3 s m c X V v d D t j b 2 x 1 b W 5 D b 3 V u d C Z x d W 9 0 O z o x M y w m c X V v d D t r Z X l D b 2 x 1 b W 5 O Y W 1 l c y Z x d W 9 0 O z p b X S w m c X V v d D t x d W V y e V J l b G F 0 a W 9 u c 2 h p c H M m c X V v d D s 6 W 1 0 s J n F 1 b 3 Q 7 Y 2 9 s d W 1 u S W R l b n R p d G l l c y Z x d W 9 0 O z p b J n F 1 b 3 Q 7 U 2 V j d G l v b j E v Z G F 0 Y T I v T 3 J p Z 2 V u L n t D b 2 x 1 b W 4 x L D B 9 J n F 1 b 3 Q 7 L C Z x d W 9 0 O 1 N l Y 3 R p b 2 4 x L 2 R h d G E y L 0 9 y a W d l b i 5 7 Q 2 9 s d W 1 u M i w x f S Z x d W 9 0 O y w m c X V v d D t T Z W N 0 a W 9 u M S 9 k Y X R h M i 9 P c m l n Z W 4 u e 0 N v b H V t b j M s M n 0 m c X V v d D s s J n F 1 b 3 Q 7 U 2 V j d G l v b j E v Z G F 0 Y T I v T 3 J p Z 2 V u L n t D b 2 x 1 b W 4 0 L D N 9 J n F 1 b 3 Q 7 L C Z x d W 9 0 O 1 N l Y 3 R p b 2 4 x L 2 R h d G E y L 0 9 y a W d l b i 5 7 Q 2 9 s d W 1 u N S w 0 f S Z x d W 9 0 O y w m c X V v d D t T Z W N 0 a W 9 u M S 9 k Y X R h M i 9 P c m l n Z W 4 u e 0 N v b H V t b j Y s N X 0 m c X V v d D s s J n F 1 b 3 Q 7 U 2 V j d G l v b j E v Z G F 0 Y T I v T 3 J p Z 2 V u L n t D b 2 x 1 b W 4 3 L D Z 9 J n F 1 b 3 Q 7 L C Z x d W 9 0 O 1 N l Y 3 R p b 2 4 x L 2 R h d G E y L 0 9 y a W d l b i 5 7 Q 2 9 s d W 1 u O C w 3 f S Z x d W 9 0 O y w m c X V v d D t T Z W N 0 a W 9 u M S 9 k Y X R h M i 9 U a X B v I G N h b W J p Y W R v L n t J b m N l b n R p d m 8 g K G P i g q w v d G t t K S w 4 f S Z x d W 9 0 O y w m c X V v d D t T Z W N 0 a W 9 u M S 9 k Y X R h M i 9 U a X B v I G N h b W J p Y W R v L n t U c m F i Y W p v I C h 0 a 2 0 p L D l 9 J n F 1 b 3 Q 7 L C Z x d W 9 0 O 1 N l Y 3 R p b 2 4 x L 2 R h d G E y L 1 R p c G 8 g Y 2 F t Y m l h Z G 8 u e 0 l u Y 2 V u d G l 2 b y A o 4 o K s K S w x M H 0 m c X V v d D s s J n F 1 b 3 Q 7 U 2 V j d G l v b j E v Z G F 0 Y T I v V G l w b y B j Y W 1 i a W F k b y 5 7 V H J h Z m l j b y A o d C k s M T F 9 J n F 1 b 3 Q 7 L C Z x d W 9 0 O 1 N l Y 3 R p b 2 4 x L 2 R h d G E y L 0 9 y a W d l b i 5 7 Q 2 9 s d W 1 u M T M s M T J 9 J n F 1 b 3 Q 7 X S w m c X V v d D t D b 2 x 1 b W 5 D b 3 V u d C Z x d W 9 0 O z o x M y w m c X V v d D t L Z X l D b 2 x 1 b W 5 O Y W 1 l c y Z x d W 9 0 O z p b X S w m c X V v d D t D b 2 x 1 b W 5 J Z G V u d G l 0 a W V z J n F 1 b 3 Q 7 O l s m c X V v d D t T Z W N 0 a W 9 u M S 9 k Y X R h M i 9 P c m l n Z W 4 u e 0 N v b H V t b j E s M H 0 m c X V v d D s s J n F 1 b 3 Q 7 U 2 V j d G l v b j E v Z G F 0 Y T I v T 3 J p Z 2 V u L n t D b 2 x 1 b W 4 y L D F 9 J n F 1 b 3 Q 7 L C Z x d W 9 0 O 1 N l Y 3 R p b 2 4 x L 2 R h d G E y L 0 9 y a W d l b i 5 7 Q 2 9 s d W 1 u M y w y f S Z x d W 9 0 O y w m c X V v d D t T Z W N 0 a W 9 u M S 9 k Y X R h M i 9 P c m l n Z W 4 u e 0 N v b H V t b j Q s M 3 0 m c X V v d D s s J n F 1 b 3 Q 7 U 2 V j d G l v b j E v Z G F 0 Y T I v T 3 J p Z 2 V u L n t D b 2 x 1 b W 4 1 L D R 9 J n F 1 b 3 Q 7 L C Z x d W 9 0 O 1 N l Y 3 R p b 2 4 x L 2 R h d G E y L 0 9 y a W d l b i 5 7 Q 2 9 s d W 1 u N i w 1 f S Z x d W 9 0 O y w m c X V v d D t T Z W N 0 a W 9 u M S 9 k Y X R h M i 9 P c m l n Z W 4 u e 0 N v b H V t b j c s N n 0 m c X V v d D s s J n F 1 b 3 Q 7 U 2 V j d G l v b j E v Z G F 0 Y T I v T 3 J p Z 2 V u L n t D b 2 x 1 b W 4 4 L D d 9 J n F 1 b 3 Q 7 L C Z x d W 9 0 O 1 N l Y 3 R p b 2 4 x L 2 R h d G E y L 1 R p c G 8 g Y 2 F t Y m l h Z G 8 u e 0 l u Y 2 V u d G l 2 b y A o Y + K C r C 9 0 a 2 0 p L D h 9 J n F 1 b 3 Q 7 L C Z x d W 9 0 O 1 N l Y 3 R p b 2 4 x L 2 R h d G E y L 1 R p c G 8 g Y 2 F t Y m l h Z G 8 u e 1 R y Y W J h a m 8 g K H R r b S k s O X 0 m c X V v d D s s J n F 1 b 3 Q 7 U 2 V j d G l v b j E v Z G F 0 Y T I v V G l w b y B j Y W 1 i a W F k b y 5 7 S W 5 j Z W 5 0 a X Z v I C j i g q w p L D E w f S Z x d W 9 0 O y w m c X V v d D t T Z W N 0 a W 9 u M S 9 k Y X R h M i 9 U a X B v I G N h b W J p Y W R v L n t U c m F m a W N v I C h 0 K S w x M X 0 m c X V v d D s s J n F 1 b 3 Q 7 U 2 V j d G l v b j E v Z G F 0 Y T I v T 3 J p Z 2 V u L n t D b 2 x 1 b W 4 x M y w x M n 0 m c X V v d D t d L C Z x d W 9 0 O 1 J l b G F 0 a W 9 u c 2 h p c E l u Z m 8 m c X V v d D s 6 W 1 1 9 I i A v P j w v U 3 R h Y m x l R W 5 0 c m l l c z 4 8 L 0 l 0 Z W 0 + P E l 0 Z W 0 + P E l 0 Z W 1 M b 2 N h d G l v b j 4 8 S X R l b V R 5 c G U + R m 9 y b X V s Y T w v S X R l b V R 5 c G U + P E l 0 Z W 1 Q Y X R o P l N l Y 3 R p b 2 4 x L 2 R h d G E y L 0 9 y a W d l b j w v S X R l b V B h d G g + P C 9 J d G V t T G 9 j Y X R p b 2 4 + P F N 0 Y W J s Z U V u d H J p Z X M g L z 4 8 L 0 l 0 Z W 0 + P E l 0 Z W 0 + P E l 0 Z W 1 M b 2 N h d G l v b j 4 8 S X R l b V R 5 c G U + R m 9 y b X V s Y T w v S X R l b V R 5 c G U + P E l 0 Z W 1 Q Y X R o P l N l Y 3 R p b 2 4 x L 2 R h d G E y L 0 V u Y 2 F i Z X p h Z G 9 z J T I w c H J v b W 9 2 a W R v c z w v S X R l b V B h d G g + P C 9 J d G V t T G 9 j Y X R p b 2 4 + P F N 0 Y W J s Z U V u d H J p Z X M g L z 4 8 L 0 l 0 Z W 0 + P E l 0 Z W 0 + P E l 0 Z W 1 M b 2 N h d G l v b j 4 8 S X R l b V R 5 c G U + R m 9 y b X V s Y T w v S X R l b V R 5 c G U + P E l 0 Z W 1 Q Y X R o P l N l Y 3 R p b 2 4 x L 2 R h d G E y L 1 Z h b G 9 y J T I w c m V l b X B s Y X p h Z G 8 8 L 0 l 0 Z W 1 Q Y X R o P j w v S X R l b U x v Y 2 F 0 a W 9 u P j x T d G F i b G V F b n R y a W V z I C 8 + P C 9 J d G V t P j x J d G V t P j x J d G V t T G 9 j Y X R p b 2 4 + P E l 0 Z W 1 U e X B l P k Z v c m 1 1 b G E 8 L 0 l 0 Z W 1 U e X B l P j x J d G V t U G F 0 a D 5 T Z W N 0 a W 9 u M S 9 k Y X R h M i 9 U a X B v J T I w Y 2 F t Y m l h Z G 8 8 L 0 l 0 Z W 1 Q Y X R o P j w v S X R l b U x v Y 2 F 0 a W 9 u P j x T d G F i b G V F b n R y a W V z I C 8 + P C 9 J d G V t P j x J d G V t P j x J d G V t T G 9 j Y X R p b 2 4 + P E l 0 Z W 1 U e X B l P k Z v c m 1 1 b G E 8 L 0 l 0 Z W 1 U e X B l P j x J d G V t U G F 0 a D 5 T Z W N 0 a W 9 u M S 9 k Y X R h M i 9 D b 2 x 1 b W 5 h c y U y M G N v b i U y M G 5 v b W J y Z S U y M G N h b W J p Y W R v P C 9 J d G V t U G F 0 a D 4 8 L 0 l 0 Z W 1 M b 2 N h d G l v b j 4 8 U 3 R h Y m x l R W 5 0 c m l l c y A v P j w v S X R l b T 4 8 L 0 l 0 Z W 1 z P j w v T G 9 j Y W x Q Y W N r Y W d l T W V 0 Y W R h d G F G a W x l P h Y A A A B Q S w U G A A A A A A A A A A A A A A A A A A A A A A A A 2 g A A A A E A A A D Q j J 3 f A R X R E Y x 6 A M B P w p f r A Q A A A O C I N e I U S b V C j r a V v 3 x j U A I A A A A A A g A A A A A A A 2 Y A A M A A A A A Q A A A A W p y d T I Q 6 E w e V + m 8 T k o A l D Q A A A A A E g A A A o A A A A B A A A A B 8 7 F H 1 Y 8 3 D W o W i 2 g z b r c 0 d U A A A A H T E o m 9 h R e U R Z f B I z D h q V T l V R G z a L q t C P J S y Q / E B w a x c 1 i O y T h T 3 r G F B y j 8 a J 2 6 P 8 7 v Z B q S s I 5 k w 2 I l I J G G I G z W B l I 6 0 L B J 8 I P N O Y m K d m m h a F A A A A J v F t m a y I J N v o Q B m l / Q z Z w + I 5 8 T J < / D a t a M a s h u p > 
</file>

<file path=customXml/itemProps1.xml><?xml version="1.0" encoding="utf-8"?>
<ds:datastoreItem xmlns:ds="http://schemas.openxmlformats.org/officeDocument/2006/customXml" ds:itemID="{AB8738B7-0596-48E6-9353-0D17498691E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Presupuesto MITMA esquema 2018</vt:lpstr>
      <vt:lpstr>Ajuste anuario</vt:lpstr>
      <vt:lpstr>Resultados toneladas</vt:lpstr>
      <vt:lpstr>Resultados t-km</vt:lpstr>
      <vt:lpstr>aux (2)</vt:lpstr>
      <vt:lpstr>EXANTE - BUQUES </vt:lpstr>
      <vt:lpstr>EXANTE - TRÁFICOS</vt:lpstr>
      <vt:lpstr>Mercados</vt:lpstr>
      <vt:lpstr>Datos AAPP</vt:lpstr>
      <vt:lpstr>Comparativa criterio eficiencia</vt:lpstr>
      <vt:lpstr>anuario MITMA</vt:lpstr>
      <vt:lpstr>'EXANTE - BUQUES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agz baz</dc:creator>
  <cp:lastModifiedBy>Bellas Reyes, Santiago</cp:lastModifiedBy>
  <cp:lastPrinted>2022-04-05T15:17:41Z</cp:lastPrinted>
  <dcterms:created xsi:type="dcterms:W3CDTF">2021-02-06T09:08:17Z</dcterms:created>
  <dcterms:modified xsi:type="dcterms:W3CDTF">2022-05-12T07:07:27Z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88aeb5be-0d31-4160-b0c1-ba46921d4f8e</vt:lpwstr>
  </property>
</Properties>
</file>